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\Reporting\AASHE STARS\2022 Submission\Submission Documents\"/>
    </mc:Choice>
  </mc:AlternateContent>
  <xr:revisionPtr revIDLastSave="0" documentId="8_{8E5CCEEE-9C34-4138-A351-E647AF9BF1AF}" xr6:coauthVersionLast="46" xr6:coauthVersionMax="46" xr10:uidLastSave="{00000000-0000-0000-0000-000000000000}"/>
  <bookViews>
    <workbookView xWindow="-21780" yWindow="3135" windowWidth="18900" windowHeight="11055" xr2:uid="{00000000-000D-0000-FFFF-FFFF00000000}"/>
  </bookViews>
  <sheets>
    <sheet name="FY22" sheetId="24" r:id="rId1"/>
    <sheet name="FY19" sheetId="23" r:id="rId2"/>
    <sheet name="FY16" sheetId="19" r:id="rId3"/>
    <sheet name="FY15" sheetId="17" r:id="rId4"/>
    <sheet name="FY14" sheetId="13" r:id="rId5"/>
    <sheet name="FY13" sheetId="12" r:id="rId6"/>
    <sheet name="FY12" sheetId="11" r:id="rId7"/>
    <sheet name="FY11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4" i="24" l="1"/>
  <c r="K84" i="24"/>
  <c r="E137" i="24"/>
  <c r="M76" i="23" l="1"/>
  <c r="N76" i="23"/>
  <c r="O84" i="24" l="1"/>
  <c r="N84" i="24"/>
  <c r="M84" i="24"/>
  <c r="K89" i="24"/>
  <c r="K88" i="24"/>
  <c r="K73" i="24"/>
  <c r="P84" i="24" l="1"/>
  <c r="D129" i="24" l="1"/>
  <c r="D111" i="24"/>
  <c r="K87" i="24"/>
  <c r="D89" i="24"/>
  <c r="N86" i="24"/>
  <c r="K86" i="24"/>
  <c r="M86" i="24" s="1"/>
  <c r="K85" i="24"/>
  <c r="O73" i="24"/>
  <c r="K72" i="24"/>
  <c r="O72" i="24" s="1"/>
  <c r="K71" i="24"/>
  <c r="M71" i="24" s="1"/>
  <c r="K69" i="24"/>
  <c r="K68" i="24"/>
  <c r="K67" i="24"/>
  <c r="K66" i="24"/>
  <c r="K65" i="24"/>
  <c r="N65" i="24" s="1"/>
  <c r="K51" i="24"/>
  <c r="K50" i="24"/>
  <c r="K48" i="24"/>
  <c r="N48" i="24" s="1"/>
  <c r="K47" i="24"/>
  <c r="K34" i="24"/>
  <c r="O34" i="24" s="1"/>
  <c r="K33" i="24"/>
  <c r="N33" i="24" s="1"/>
  <c r="K32" i="24"/>
  <c r="M32" i="24" s="1"/>
  <c r="K31" i="24"/>
  <c r="K70" i="24"/>
  <c r="K30" i="24"/>
  <c r="K29" i="24"/>
  <c r="K28" i="24"/>
  <c r="K27" i="24"/>
  <c r="O27" i="24" s="1"/>
  <c r="K26" i="24"/>
  <c r="N26" i="24" s="1"/>
  <c r="F14" i="24"/>
  <c r="O188" i="24" s="1"/>
  <c r="E14" i="24"/>
  <c r="N89" i="24" s="1"/>
  <c r="D14" i="24"/>
  <c r="M187" i="24" s="1"/>
  <c r="F13" i="24"/>
  <c r="O187" i="24" s="1"/>
  <c r="E13" i="24"/>
  <c r="N187" i="24" s="1"/>
  <c r="D13" i="24"/>
  <c r="M186" i="24" s="1"/>
  <c r="F10" i="24"/>
  <c r="E10" i="24"/>
  <c r="D10" i="24"/>
  <c r="F9" i="24"/>
  <c r="E9" i="24"/>
  <c r="D9" i="24"/>
  <c r="F8" i="24"/>
  <c r="E8" i="24"/>
  <c r="D8" i="24"/>
  <c r="F7" i="24"/>
  <c r="E7" i="24"/>
  <c r="D7" i="24"/>
  <c r="K76" i="24" l="1"/>
  <c r="N85" i="24"/>
  <c r="K91" i="24"/>
  <c r="O69" i="24"/>
  <c r="O48" i="24"/>
  <c r="N51" i="24"/>
  <c r="M88" i="24"/>
  <c r="O66" i="24"/>
  <c r="P187" i="24"/>
  <c r="N28" i="24"/>
  <c r="O50" i="24"/>
  <c r="O67" i="24"/>
  <c r="N88" i="24"/>
  <c r="M29" i="24"/>
  <c r="O88" i="24"/>
  <c r="M30" i="24"/>
  <c r="M68" i="24"/>
  <c r="N31" i="24"/>
  <c r="O89" i="24"/>
  <c r="N188" i="24"/>
  <c r="P188" i="24" s="1"/>
  <c r="O51" i="24"/>
  <c r="O26" i="24"/>
  <c r="O31" i="24"/>
  <c r="N32" i="24"/>
  <c r="O28" i="24"/>
  <c r="M33" i="24"/>
  <c r="N68" i="24"/>
  <c r="O33" i="24"/>
  <c r="O68" i="24"/>
  <c r="N29" i="24"/>
  <c r="K35" i="24"/>
  <c r="O35" i="24" s="1"/>
  <c r="M26" i="24"/>
  <c r="O29" i="24"/>
  <c r="O32" i="24"/>
  <c r="M66" i="24"/>
  <c r="N66" i="24"/>
  <c r="N71" i="24"/>
  <c r="O71" i="24"/>
  <c r="P71" i="24" s="1"/>
  <c r="N72" i="24"/>
  <c r="M72" i="24"/>
  <c r="O65" i="24"/>
  <c r="O85" i="24"/>
  <c r="O86" i="24"/>
  <c r="P86" i="24" s="1"/>
  <c r="K49" i="24"/>
  <c r="M49" i="24" s="1"/>
  <c r="O87" i="24"/>
  <c r="N87" i="24"/>
  <c r="M87" i="24"/>
  <c r="N70" i="24"/>
  <c r="M70" i="24"/>
  <c r="O70" i="24"/>
  <c r="M27" i="24"/>
  <c r="N30" i="24"/>
  <c r="M47" i="24"/>
  <c r="M50" i="24"/>
  <c r="M69" i="24"/>
  <c r="N27" i="24"/>
  <c r="O30" i="24"/>
  <c r="N47" i="24"/>
  <c r="N50" i="24"/>
  <c r="M65" i="24"/>
  <c r="N69" i="24"/>
  <c r="M89" i="24"/>
  <c r="O47" i="24"/>
  <c r="M67" i="24"/>
  <c r="M48" i="24"/>
  <c r="P48" i="24" s="1"/>
  <c r="M34" i="24"/>
  <c r="M73" i="24"/>
  <c r="M28" i="24"/>
  <c r="M31" i="24"/>
  <c r="N34" i="24"/>
  <c r="M51" i="24"/>
  <c r="N67" i="24"/>
  <c r="N73" i="24"/>
  <c r="M85" i="24"/>
  <c r="L98" i="23"/>
  <c r="J98" i="23"/>
  <c r="K97" i="23"/>
  <c r="L97" i="23" s="1"/>
  <c r="J97" i="23"/>
  <c r="P68" i="24" l="1"/>
  <c r="P88" i="24"/>
  <c r="P89" i="24"/>
  <c r="P51" i="24"/>
  <c r="P26" i="24"/>
  <c r="O49" i="24"/>
  <c r="P30" i="24"/>
  <c r="P31" i="24"/>
  <c r="P28" i="24"/>
  <c r="P32" i="24"/>
  <c r="P29" i="24"/>
  <c r="P27" i="24"/>
  <c r="P34" i="24"/>
  <c r="P65" i="24"/>
  <c r="P75" i="24" s="1"/>
  <c r="N35" i="24"/>
  <c r="P72" i="24"/>
  <c r="M35" i="24"/>
  <c r="P69" i="24"/>
  <c r="P33" i="24"/>
  <c r="P66" i="24"/>
  <c r="N49" i="24"/>
  <c r="P87" i="24"/>
  <c r="P85" i="24"/>
  <c r="P92" i="24" s="1"/>
  <c r="P50" i="24"/>
  <c r="P70" i="24"/>
  <c r="P47" i="24"/>
  <c r="P67" i="24"/>
  <c r="P73" i="24"/>
  <c r="K49" i="23"/>
  <c r="K48" i="23"/>
  <c r="K46" i="23"/>
  <c r="O46" i="23" s="1"/>
  <c r="K45" i="23"/>
  <c r="K31" i="23"/>
  <c r="K34" i="23"/>
  <c r="N34" i="23" s="1"/>
  <c r="K33" i="23"/>
  <c r="O33" i="23" s="1"/>
  <c r="K32" i="23"/>
  <c r="K30" i="23"/>
  <c r="K29" i="23"/>
  <c r="K28" i="23"/>
  <c r="K27" i="23"/>
  <c r="O27" i="23" s="1"/>
  <c r="K26" i="23"/>
  <c r="D91" i="23"/>
  <c r="D62" i="23"/>
  <c r="D41" i="23"/>
  <c r="D89" i="23"/>
  <c r="D88" i="23"/>
  <c r="D87" i="23"/>
  <c r="D95" i="23"/>
  <c r="D102" i="23"/>
  <c r="D108" i="23"/>
  <c r="D77" i="23"/>
  <c r="D66" i="23"/>
  <c r="D65" i="23"/>
  <c r="D59" i="23"/>
  <c r="D55" i="23"/>
  <c r="D54" i="23"/>
  <c r="D48" i="23"/>
  <c r="D44" i="23"/>
  <c r="D43" i="23"/>
  <c r="D37" i="23"/>
  <c r="D106" i="23"/>
  <c r="D85" i="23"/>
  <c r="D124" i="23"/>
  <c r="P40" i="24" l="1"/>
  <c r="P38" i="24"/>
  <c r="P49" i="24"/>
  <c r="P53" i="24" s="1"/>
  <c r="P55" i="24" s="1"/>
  <c r="P35" i="24"/>
  <c r="P39" i="24" s="1"/>
  <c r="P77" i="24"/>
  <c r="P94" i="24"/>
  <c r="P76" i="24"/>
  <c r="O32" i="23"/>
  <c r="M26" i="23"/>
  <c r="I99" i="23"/>
  <c r="M45" i="23"/>
  <c r="O34" i="23"/>
  <c r="M33" i="23"/>
  <c r="N33" i="23"/>
  <c r="M34" i="23"/>
  <c r="K35" i="23"/>
  <c r="N35" i="23" s="1"/>
  <c r="K47" i="23"/>
  <c r="I96" i="23" s="1"/>
  <c r="J96" i="23" s="1"/>
  <c r="M32" i="23"/>
  <c r="N26" i="23"/>
  <c r="O26" i="23"/>
  <c r="M27" i="23"/>
  <c r="N46" i="23"/>
  <c r="N45" i="23"/>
  <c r="N27" i="23"/>
  <c r="O45" i="23"/>
  <c r="N32" i="23"/>
  <c r="M46" i="23"/>
  <c r="K69" i="23"/>
  <c r="K68" i="23"/>
  <c r="K66" i="23"/>
  <c r="K65" i="23"/>
  <c r="K64" i="23"/>
  <c r="K63" i="23"/>
  <c r="K62" i="23"/>
  <c r="K99" i="23" s="1"/>
  <c r="L99" i="23" s="1"/>
  <c r="K82" i="23"/>
  <c r="K81" i="23"/>
  <c r="E31" i="23"/>
  <c r="K67" i="23" s="1"/>
  <c r="P78" i="24" l="1"/>
  <c r="P80" i="24" s="1"/>
  <c r="P96" i="24" s="1"/>
  <c r="P41" i="24"/>
  <c r="P43" i="24" s="1"/>
  <c r="P57" i="24" s="1"/>
  <c r="I100" i="23"/>
  <c r="J100" i="23" s="1"/>
  <c r="P34" i="23"/>
  <c r="P33" i="23"/>
  <c r="N69" i="23"/>
  <c r="M69" i="23"/>
  <c r="N67" i="23"/>
  <c r="M67" i="23"/>
  <c r="O67" i="23"/>
  <c r="O68" i="23"/>
  <c r="N68" i="23"/>
  <c r="M68" i="23"/>
  <c r="O35" i="23"/>
  <c r="P26" i="23"/>
  <c r="M35" i="23"/>
  <c r="P46" i="23"/>
  <c r="P45" i="23"/>
  <c r="P27" i="23"/>
  <c r="P32" i="23"/>
  <c r="O82" i="23"/>
  <c r="M82" i="23"/>
  <c r="N82" i="23"/>
  <c r="M62" i="23"/>
  <c r="O62" i="23"/>
  <c r="N62" i="23"/>
  <c r="N81" i="23"/>
  <c r="O81" i="23"/>
  <c r="M81" i="23"/>
  <c r="O69" i="23"/>
  <c r="E63" i="23"/>
  <c r="E71" i="23"/>
  <c r="P37" i="23" l="1"/>
  <c r="P35" i="23"/>
  <c r="P38" i="23" s="1"/>
  <c r="P81" i="23"/>
  <c r="P82" i="23"/>
  <c r="P62" i="23"/>
  <c r="P72" i="23" s="1"/>
  <c r="K70" i="23"/>
  <c r="K100" i="23" s="1"/>
  <c r="L100" i="23" s="1"/>
  <c r="E85" i="23"/>
  <c r="E106" i="23"/>
  <c r="K37" i="23" l="1"/>
  <c r="O47" i="23"/>
  <c r="M47" i="23"/>
  <c r="N47" i="23"/>
  <c r="O70" i="23"/>
  <c r="N70" i="23"/>
  <c r="M70" i="23"/>
  <c r="K83" i="23"/>
  <c r="K96" i="23" s="1"/>
  <c r="L96" i="23" s="1"/>
  <c r="F14" i="23"/>
  <c r="O49" i="23" s="1"/>
  <c r="E14" i="23"/>
  <c r="N49" i="23" s="1"/>
  <c r="D14" i="23"/>
  <c r="M49" i="23" s="1"/>
  <c r="F13" i="23"/>
  <c r="O48" i="23" s="1"/>
  <c r="E13" i="23"/>
  <c r="N48" i="23" s="1"/>
  <c r="D13" i="23"/>
  <c r="M48" i="23" s="1"/>
  <c r="F10" i="23"/>
  <c r="E10" i="23"/>
  <c r="D10" i="23"/>
  <c r="F9" i="23"/>
  <c r="O65" i="23" s="1"/>
  <c r="E9" i="23"/>
  <c r="D9" i="23"/>
  <c r="F8" i="23"/>
  <c r="E8" i="23"/>
  <c r="D8" i="23"/>
  <c r="F7" i="23"/>
  <c r="E7" i="23"/>
  <c r="D7" i="23"/>
  <c r="P48" i="23" l="1"/>
  <c r="O31" i="23"/>
  <c r="O66" i="23"/>
  <c r="M66" i="23"/>
  <c r="M31" i="23"/>
  <c r="N66" i="23"/>
  <c r="N31" i="23"/>
  <c r="P49" i="23"/>
  <c r="N63" i="23"/>
  <c r="N28" i="23"/>
  <c r="M64" i="23"/>
  <c r="M29" i="23"/>
  <c r="O64" i="23"/>
  <c r="O29" i="23"/>
  <c r="O63" i="23"/>
  <c r="O28" i="23"/>
  <c r="N64" i="23"/>
  <c r="N29" i="23"/>
  <c r="M65" i="23"/>
  <c r="M30" i="23"/>
  <c r="N65" i="23"/>
  <c r="N30" i="23"/>
  <c r="P47" i="23"/>
  <c r="M63" i="23"/>
  <c r="M28" i="23"/>
  <c r="O30" i="23"/>
  <c r="M171" i="23"/>
  <c r="M85" i="23"/>
  <c r="N172" i="23"/>
  <c r="N85" i="23"/>
  <c r="O172" i="23"/>
  <c r="O85" i="23"/>
  <c r="O171" i="23"/>
  <c r="O84" i="23"/>
  <c r="M170" i="23"/>
  <c r="M84" i="23"/>
  <c r="N171" i="23"/>
  <c r="N84" i="23"/>
  <c r="P70" i="23"/>
  <c r="M83" i="23"/>
  <c r="O83" i="23"/>
  <c r="N83" i="23"/>
  <c r="P67" i="23"/>
  <c r="P69" i="23"/>
  <c r="P68" i="23"/>
  <c r="P73" i="23" l="1"/>
  <c r="K72" i="23" s="1"/>
  <c r="P65" i="23"/>
  <c r="P66" i="23"/>
  <c r="P64" i="23"/>
  <c r="P31" i="23"/>
  <c r="P63" i="23"/>
  <c r="P51" i="23"/>
  <c r="P53" i="23" s="1"/>
  <c r="P30" i="23"/>
  <c r="P29" i="23"/>
  <c r="P172" i="23"/>
  <c r="P28" i="23"/>
  <c r="P171" i="23"/>
  <c r="P83" i="23"/>
  <c r="P84" i="23"/>
  <c r="P85" i="23"/>
  <c r="P39" i="23" l="1"/>
  <c r="P40" i="23" s="1"/>
  <c r="P42" i="23" s="1"/>
  <c r="P74" i="23"/>
  <c r="P75" i="23"/>
  <c r="P77" i="23" s="1"/>
  <c r="P55" i="23"/>
  <c r="P87" i="23"/>
  <c r="P89" i="23" s="1"/>
  <c r="P91" i="23" l="1"/>
  <c r="E9" i="11"/>
  <c r="D9" i="11"/>
  <c r="C9" i="11"/>
  <c r="E8" i="11"/>
  <c r="D8" i="11"/>
  <c r="C8" i="11"/>
  <c r="E7" i="11"/>
  <c r="D7" i="11"/>
  <c r="C7" i="11"/>
  <c r="E9" i="12"/>
  <c r="D9" i="12"/>
  <c r="C9" i="12"/>
  <c r="E8" i="12"/>
  <c r="D8" i="12"/>
  <c r="C8" i="12"/>
  <c r="E7" i="12"/>
  <c r="D7" i="12"/>
  <c r="C7" i="12"/>
  <c r="E9" i="13"/>
  <c r="D9" i="13"/>
  <c r="C9" i="13"/>
  <c r="E8" i="13"/>
  <c r="D8" i="13"/>
  <c r="C8" i="13"/>
  <c r="E7" i="13"/>
  <c r="D7" i="13"/>
  <c r="C7" i="13"/>
  <c r="E9" i="17"/>
  <c r="D9" i="17"/>
  <c r="C9" i="17"/>
  <c r="E8" i="17"/>
  <c r="D8" i="17"/>
  <c r="C8" i="17"/>
  <c r="E7" i="17"/>
  <c r="D7" i="17"/>
  <c r="C7" i="17"/>
  <c r="E9" i="19"/>
  <c r="E8" i="19"/>
  <c r="E7" i="19"/>
  <c r="D9" i="19"/>
  <c r="D8" i="19"/>
  <c r="D7" i="19"/>
  <c r="C9" i="19"/>
  <c r="C8" i="19"/>
  <c r="C7" i="19"/>
  <c r="E10" i="19"/>
  <c r="E10" i="11" l="1"/>
  <c r="F30" i="11" s="1"/>
  <c r="D10" i="11"/>
  <c r="E30" i="11" s="1"/>
  <c r="C10" i="11"/>
  <c r="D30" i="11" s="1"/>
  <c r="E10" i="12"/>
  <c r="F30" i="12" s="1"/>
  <c r="D10" i="12"/>
  <c r="E30" i="12" s="1"/>
  <c r="C10" i="12"/>
  <c r="D30" i="12" s="1"/>
  <c r="E30" i="13"/>
  <c r="E10" i="13"/>
  <c r="F30" i="13" s="1"/>
  <c r="D10" i="13"/>
  <c r="C10" i="13"/>
  <c r="D30" i="13" s="1"/>
  <c r="E10" i="17"/>
  <c r="F30" i="17" s="1"/>
  <c r="D10" i="17"/>
  <c r="E30" i="17" s="1"/>
  <c r="C10" i="17"/>
  <c r="D30" i="17" s="1"/>
  <c r="F30" i="19"/>
  <c r="D29" i="19"/>
  <c r="D10" i="19"/>
  <c r="E30" i="19" s="1"/>
  <c r="C10" i="19"/>
  <c r="D30" i="19" s="1"/>
  <c r="G30" i="19" s="1"/>
  <c r="G30" i="11" l="1"/>
  <c r="G30" i="12"/>
  <c r="G30" i="13"/>
  <c r="G30" i="17"/>
  <c r="F37" i="19" l="1"/>
  <c r="E37" i="19"/>
  <c r="D37" i="19"/>
  <c r="F36" i="19"/>
  <c r="E36" i="19"/>
  <c r="D36" i="19"/>
  <c r="F33" i="19"/>
  <c r="E33" i="19"/>
  <c r="D33" i="19"/>
  <c r="F32" i="19"/>
  <c r="E32" i="19"/>
  <c r="D32" i="19"/>
  <c r="F31" i="19"/>
  <c r="E31" i="19"/>
  <c r="D31" i="19"/>
  <c r="F29" i="19"/>
  <c r="E29" i="19"/>
  <c r="F28" i="19"/>
  <c r="E28" i="19"/>
  <c r="F27" i="19"/>
  <c r="E27" i="19"/>
  <c r="D27" i="19"/>
  <c r="F26" i="19"/>
  <c r="E26" i="19"/>
  <c r="D26" i="19"/>
  <c r="F25" i="19"/>
  <c r="E25" i="19"/>
  <c r="D25" i="19"/>
  <c r="E14" i="19"/>
  <c r="F39" i="19" s="1"/>
  <c r="D14" i="19"/>
  <c r="E39" i="19" s="1"/>
  <c r="C14" i="19"/>
  <c r="D39" i="19" s="1"/>
  <c r="E13" i="19"/>
  <c r="F38" i="19" s="1"/>
  <c r="D13" i="19"/>
  <c r="E38" i="19" s="1"/>
  <c r="C13" i="19"/>
  <c r="D38" i="19" s="1"/>
  <c r="D28" i="19"/>
  <c r="G25" i="19" l="1"/>
  <c r="G37" i="19"/>
  <c r="G29" i="19"/>
  <c r="G28" i="19"/>
  <c r="G33" i="19"/>
  <c r="G36" i="19"/>
  <c r="G26" i="19"/>
  <c r="G31" i="19"/>
  <c r="G27" i="19"/>
  <c r="G38" i="19"/>
  <c r="G32" i="19"/>
  <c r="G39" i="19"/>
  <c r="F37" i="17"/>
  <c r="E37" i="17"/>
  <c r="D37" i="17"/>
  <c r="F36" i="17"/>
  <c r="E36" i="17"/>
  <c r="D36" i="17"/>
  <c r="F33" i="17"/>
  <c r="E33" i="17"/>
  <c r="D33" i="17"/>
  <c r="F32" i="17"/>
  <c r="E32" i="17"/>
  <c r="F31" i="17"/>
  <c r="E31" i="17"/>
  <c r="D31" i="17"/>
  <c r="F29" i="17"/>
  <c r="E29" i="17"/>
  <c r="F28" i="17"/>
  <c r="E28" i="17"/>
  <c r="F27" i="17"/>
  <c r="E27" i="17"/>
  <c r="G27" i="17" s="1"/>
  <c r="D27" i="17"/>
  <c r="F26" i="17"/>
  <c r="E26" i="17"/>
  <c r="D26" i="17"/>
  <c r="F25" i="17"/>
  <c r="E25" i="17"/>
  <c r="D25" i="17"/>
  <c r="E14" i="17"/>
  <c r="F39" i="17" s="1"/>
  <c r="D14" i="17"/>
  <c r="E39" i="17" s="1"/>
  <c r="C14" i="17"/>
  <c r="D39" i="17" s="1"/>
  <c r="E13" i="17"/>
  <c r="F38" i="17" s="1"/>
  <c r="D13" i="17"/>
  <c r="E38" i="17" s="1"/>
  <c r="C13" i="17"/>
  <c r="D38" i="17" s="1"/>
  <c r="D29" i="17"/>
  <c r="D28" i="17"/>
  <c r="E29" i="13"/>
  <c r="E28" i="13"/>
  <c r="F29" i="13"/>
  <c r="F28" i="13"/>
  <c r="F27" i="13"/>
  <c r="D25" i="13"/>
  <c r="D26" i="13"/>
  <c r="D31" i="13"/>
  <c r="D27" i="13"/>
  <c r="E27" i="13"/>
  <c r="E26" i="13"/>
  <c r="F37" i="13"/>
  <c r="E37" i="13"/>
  <c r="D37" i="13"/>
  <c r="F36" i="13"/>
  <c r="E36" i="13"/>
  <c r="D36" i="13"/>
  <c r="F33" i="13"/>
  <c r="E33" i="13"/>
  <c r="D33" i="13"/>
  <c r="F32" i="13"/>
  <c r="E32" i="13"/>
  <c r="D32" i="13"/>
  <c r="F31" i="13"/>
  <c r="E31" i="13"/>
  <c r="F26" i="13"/>
  <c r="E14" i="13"/>
  <c r="F39" i="13" s="1"/>
  <c r="D14" i="13"/>
  <c r="E39" i="13" s="1"/>
  <c r="C14" i="13"/>
  <c r="D39" i="13" s="1"/>
  <c r="E13" i="13"/>
  <c r="F38" i="13" s="1"/>
  <c r="D13" i="13"/>
  <c r="E38" i="13"/>
  <c r="C13" i="13"/>
  <c r="D38" i="13" s="1"/>
  <c r="D29" i="13"/>
  <c r="D28" i="13"/>
  <c r="G28" i="13" s="1"/>
  <c r="F32" i="12"/>
  <c r="F33" i="12"/>
  <c r="E32" i="12"/>
  <c r="E33" i="12"/>
  <c r="D32" i="12"/>
  <c r="D33" i="12"/>
  <c r="F37" i="12"/>
  <c r="E37" i="12"/>
  <c r="D37" i="12"/>
  <c r="C34" i="11"/>
  <c r="F34" i="11" s="1"/>
  <c r="F31" i="12"/>
  <c r="F36" i="12"/>
  <c r="C26" i="12"/>
  <c r="E26" i="12" s="1"/>
  <c r="C25" i="12"/>
  <c r="D25" i="12" s="1"/>
  <c r="E31" i="12"/>
  <c r="F29" i="12"/>
  <c r="E29" i="12"/>
  <c r="F28" i="12"/>
  <c r="E28" i="12"/>
  <c r="K27" i="12"/>
  <c r="N27" i="12" s="1"/>
  <c r="N29" i="12" s="1"/>
  <c r="F27" i="12"/>
  <c r="E27" i="12"/>
  <c r="D27" i="12"/>
  <c r="E14" i="12"/>
  <c r="F39" i="12" s="1"/>
  <c r="D14" i="12"/>
  <c r="E39" i="12" s="1"/>
  <c r="C14" i="12"/>
  <c r="D39" i="12" s="1"/>
  <c r="E13" i="12"/>
  <c r="F38" i="12"/>
  <c r="D13" i="12"/>
  <c r="E38" i="12" s="1"/>
  <c r="C13" i="12"/>
  <c r="D38" i="12" s="1"/>
  <c r="D29" i="12"/>
  <c r="D28" i="12"/>
  <c r="F31" i="11"/>
  <c r="F29" i="11"/>
  <c r="F28" i="11"/>
  <c r="F27" i="11"/>
  <c r="E31" i="11"/>
  <c r="E29" i="11"/>
  <c r="E28" i="11"/>
  <c r="E27" i="11"/>
  <c r="D31" i="11"/>
  <c r="D27" i="11"/>
  <c r="K27" i="11"/>
  <c r="N27" i="11"/>
  <c r="N29" i="11" s="1"/>
  <c r="C25" i="11"/>
  <c r="F25" i="11" s="1"/>
  <c r="E25" i="11"/>
  <c r="C35" i="11"/>
  <c r="C26" i="11"/>
  <c r="F26" i="11" s="1"/>
  <c r="E26" i="11"/>
  <c r="E14" i="11"/>
  <c r="F36" i="11"/>
  <c r="D14" i="11"/>
  <c r="E36" i="11" s="1"/>
  <c r="C14" i="11"/>
  <c r="D36" i="11" s="1"/>
  <c r="E13" i="11"/>
  <c r="D13" i="11"/>
  <c r="C13" i="11"/>
  <c r="D28" i="11"/>
  <c r="C31" i="10"/>
  <c r="F30" i="10"/>
  <c r="E30" i="10"/>
  <c r="D30" i="10"/>
  <c r="G30" i="10" s="1"/>
  <c r="G40" i="10" s="1"/>
  <c r="G41" i="10" s="1"/>
  <c r="F29" i="10"/>
  <c r="E29" i="10"/>
  <c r="D29" i="10"/>
  <c r="G29" i="10" s="1"/>
  <c r="F28" i="10"/>
  <c r="E28" i="10"/>
  <c r="F27" i="10"/>
  <c r="E27" i="10"/>
  <c r="F26" i="10"/>
  <c r="E26" i="10"/>
  <c r="D26" i="10"/>
  <c r="G26" i="10" s="1"/>
  <c r="F25" i="10"/>
  <c r="E25" i="10"/>
  <c r="D25" i="10"/>
  <c r="G25" i="10"/>
  <c r="F24" i="10"/>
  <c r="E24" i="10"/>
  <c r="D24" i="10"/>
  <c r="G24" i="10" s="1"/>
  <c r="E13" i="10"/>
  <c r="F32" i="10" s="1"/>
  <c r="D13" i="10"/>
  <c r="E32" i="10" s="1"/>
  <c r="C13" i="10"/>
  <c r="D32" i="10"/>
  <c r="E12" i="10"/>
  <c r="D12" i="10"/>
  <c r="E31" i="10"/>
  <c r="C12" i="10"/>
  <c r="D31" i="10"/>
  <c r="C9" i="10"/>
  <c r="D28" i="10" s="1"/>
  <c r="C8" i="10"/>
  <c r="D27" i="10" s="1"/>
  <c r="D36" i="12"/>
  <c r="E36" i="12"/>
  <c r="E25" i="13"/>
  <c r="F25" i="13"/>
  <c r="D31" i="12"/>
  <c r="G26" i="13"/>
  <c r="G28" i="10" l="1"/>
  <c r="F31" i="10"/>
  <c r="G31" i="10" s="1"/>
  <c r="G56" i="19"/>
  <c r="G27" i="10"/>
  <c r="G33" i="12"/>
  <c r="G25" i="13"/>
  <c r="G31" i="11"/>
  <c r="G27" i="11"/>
  <c r="G37" i="10"/>
  <c r="G38" i="10" s="1"/>
  <c r="G38" i="12"/>
  <c r="G27" i="12"/>
  <c r="G50" i="19"/>
  <c r="G51" i="19" s="1"/>
  <c r="G44" i="19"/>
  <c r="G28" i="12"/>
  <c r="G53" i="19"/>
  <c r="G54" i="19" s="1"/>
  <c r="F35" i="11"/>
  <c r="D35" i="11"/>
  <c r="D26" i="11"/>
  <c r="E34" i="11"/>
  <c r="D26" i="12"/>
  <c r="G26" i="12" s="1"/>
  <c r="F26" i="12"/>
  <c r="G37" i="12"/>
  <c r="G36" i="12"/>
  <c r="G47" i="12" s="1"/>
  <c r="G37" i="13"/>
  <c r="G27" i="13"/>
  <c r="G38" i="13"/>
  <c r="G33" i="13"/>
  <c r="G31" i="13"/>
  <c r="G29" i="13"/>
  <c r="G31" i="17"/>
  <c r="G45" i="19"/>
  <c r="G47" i="19"/>
  <c r="G48" i="19" s="1"/>
  <c r="G57" i="19"/>
  <c r="G36" i="11"/>
  <c r="G28" i="11"/>
  <c r="D34" i="11"/>
  <c r="G34" i="11" s="1"/>
  <c r="G44" i="11" s="1"/>
  <c r="G41" i="19"/>
  <c r="G42" i="19" s="1"/>
  <c r="G32" i="10"/>
  <c r="G36" i="13"/>
  <c r="G47" i="13" s="1"/>
  <c r="G39" i="12"/>
  <c r="G26" i="11"/>
  <c r="F25" i="12"/>
  <c r="E25" i="12"/>
  <c r="G25" i="12" s="1"/>
  <c r="G34" i="10"/>
  <c r="G35" i="10" s="1"/>
  <c r="G29" i="12"/>
  <c r="G39" i="13"/>
  <c r="G32" i="13"/>
  <c r="G39" i="17"/>
  <c r="G31" i="12"/>
  <c r="D29" i="11"/>
  <c r="G29" i="11" s="1"/>
  <c r="D25" i="11"/>
  <c r="G25" i="11" s="1"/>
  <c r="E35" i="11"/>
  <c r="G35" i="11" s="1"/>
  <c r="G47" i="11" s="1"/>
  <c r="G32" i="12"/>
  <c r="G28" i="17"/>
  <c r="G50" i="17" s="1"/>
  <c r="G25" i="17"/>
  <c r="G44" i="17" s="1"/>
  <c r="G29" i="17"/>
  <c r="G38" i="17"/>
  <c r="G33" i="17"/>
  <c r="G37" i="17"/>
  <c r="G36" i="17"/>
  <c r="G26" i="17"/>
  <c r="D32" i="17"/>
  <c r="G32" i="17" s="1"/>
  <c r="G41" i="11" l="1"/>
  <c r="G44" i="12"/>
  <c r="G44" i="13"/>
  <c r="G48" i="17"/>
  <c r="I30" i="19"/>
  <c r="G41" i="17"/>
  <c r="G50" i="12"/>
  <c r="G51" i="12" s="1"/>
  <c r="G45" i="13"/>
  <c r="G47" i="17"/>
  <c r="G56" i="17"/>
  <c r="G43" i="10"/>
  <c r="G44" i="10" s="1"/>
  <c r="G50" i="13"/>
  <c r="G51" i="13"/>
  <c r="I30" i="17"/>
  <c r="G51" i="17"/>
  <c r="G53" i="17"/>
  <c r="G54" i="17" s="1"/>
  <c r="G53" i="12"/>
  <c r="G54" i="12" s="1"/>
  <c r="G48" i="12"/>
  <c r="G56" i="12"/>
  <c r="G57" i="12" s="1"/>
  <c r="G53" i="13"/>
  <c r="G54" i="13" s="1"/>
  <c r="G48" i="13"/>
  <c r="G56" i="13"/>
  <c r="G57" i="13" s="1"/>
  <c r="G57" i="17"/>
  <c r="G45" i="11"/>
  <c r="G53" i="11"/>
  <c r="G54" i="11" s="1"/>
  <c r="G50" i="11"/>
  <c r="G51" i="11" s="1"/>
  <c r="I27" i="19"/>
  <c r="I28" i="19"/>
  <c r="I26" i="19"/>
  <c r="I29" i="19"/>
  <c r="I31" i="19"/>
  <c r="G41" i="12"/>
  <c r="G42" i="12" s="1"/>
  <c r="G45" i="12"/>
  <c r="G48" i="11"/>
  <c r="G41" i="13"/>
  <c r="I29" i="13" s="1"/>
  <c r="G38" i="11"/>
  <c r="G39" i="11" s="1"/>
  <c r="G42" i="11"/>
  <c r="I31" i="13"/>
  <c r="G45" i="17"/>
  <c r="I30" i="13" l="1"/>
  <c r="I41" i="19"/>
  <c r="I28" i="13"/>
  <c r="I26" i="13"/>
  <c r="G42" i="13"/>
  <c r="I27" i="13"/>
  <c r="I28" i="17"/>
  <c r="I26" i="17"/>
  <c r="G42" i="17"/>
  <c r="I29" i="17"/>
  <c r="I27" i="17"/>
  <c r="I31" i="17"/>
  <c r="I41" i="13" l="1"/>
  <c r="I4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  <author>Kruse, Mark D [UTIL]</author>
  </authors>
  <commentList>
    <comment ref="D7" authorId="0" shapeId="0" xr:uid="{C0B8FB21-DD90-4A64-AD9F-6A377A27D27C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E7" authorId="0" shapeId="0" xr:uid="{F33B6F21-1554-4611-BC7A-AF44FD960D3B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F7" authorId="0" shapeId="0" xr:uid="{AF8D98C4-0C94-4ED9-9805-0F010167B419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D8" authorId="0" shapeId="0" xr:uid="{FD69C36C-6DCD-447D-A2F3-0360E7164DAD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E8" authorId="0" shapeId="0" xr:uid="{660D1315-B5E4-4706-9947-89038A3F68EF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F8" authorId="0" shapeId="0" xr:uid="{7300592D-95CA-4616-9449-38F7E4939934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D9" authorId="0" shapeId="0" xr:uid="{06D4E624-7A14-422E-93CE-E28C7C8E47E5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E9" authorId="0" shapeId="0" xr:uid="{050E843B-E3A7-428A-81A4-9C05531D7AFA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F9" authorId="0" shapeId="0" xr:uid="{26450AE6-E7EC-43D8-8D24-F6F568378558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D10" authorId="0" shapeId="0" xr:uid="{095AE6FA-A600-40DD-8B04-64C5A4B1B282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E10" authorId="0" shapeId="0" xr:uid="{696BC2C3-6FCE-4699-905F-385B7649C591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F10" authorId="0" shapeId="0" xr:uid="{11DED3AA-ADFE-468A-A676-95BC5FA46CC2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0.50 grams per gallon
</t>
        </r>
      </text>
    </comment>
    <comment ref="D39" authorId="0" shapeId="0" xr:uid="{7545F971-066B-4DE7-9805-9A5139BFDACC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Heated by steam in FY12</t>
        </r>
      </text>
    </comment>
    <comment ref="D48" authorId="0" shapeId="0" xr:uid="{CD7D0948-99CD-4023-823C-1C213AF046E3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dryers
</t>
        </r>
      </text>
    </comment>
    <comment ref="D51" authorId="0" shapeId="0" xr:uid="{24298ACF-2D88-4C2B-9BF9-55AE511E6A6A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dryers
</t>
        </r>
      </text>
    </comment>
    <comment ref="D52" authorId="0" shapeId="0" xr:uid="{510EDDC0-DA08-439A-BA94-72252EDBF0DB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kitchen</t>
        </r>
      </text>
    </comment>
    <comment ref="E54" authorId="1" shapeId="0" xr:uid="{CCB71E81-A676-4B3C-A553-12394F303A00}">
      <text>
        <r>
          <rPr>
            <b/>
            <sz val="9"/>
            <color indexed="81"/>
            <rFont val="Tahoma"/>
            <family val="2"/>
          </rPr>
          <t>Kruse, Mark D [UTIL]:</t>
        </r>
        <r>
          <rPr>
            <sz val="9"/>
            <color indexed="81"/>
            <rFont val="Tahoma"/>
            <family val="2"/>
          </rPr>
          <t xml:space="preserve">
Kitchen Use Only</t>
        </r>
      </text>
    </comment>
    <comment ref="D67" authorId="0" shapeId="0" xr:uid="{1EE9024F-6D77-4CDD-A7F0-470436A1A457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dryers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D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E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D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E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F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D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E1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F1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0.50 grams per gallon
</t>
        </r>
      </text>
    </comment>
    <comment ref="D3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Heated by steam in FY12</t>
        </r>
      </text>
    </comment>
    <comment ref="D4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dryers
</t>
        </r>
      </text>
    </comment>
    <comment ref="D4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dryers
</t>
        </r>
      </text>
    </comment>
    <comment ref="D5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kitchen</t>
        </r>
      </text>
    </comment>
    <comment ref="D6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Gas used for dryers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  <author>Dave Miller</author>
    <author>mwitte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D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E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C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D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D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1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D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E1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0.50 grams per gallon
</t>
        </r>
      </text>
    </comment>
    <comment ref="C25" authorId="1" shapeId="0" xr:uid="{00000000-0006-0000-0100-00000D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6" authorId="1" shapeId="0" xr:uid="{00000000-0006-0000-0100-00000E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7" authorId="1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gallons - Data provided by Kathy Wellik on 7/8/16
</t>
        </r>
      </text>
    </comment>
    <comment ref="C28" authorId="1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gallons - Data provided by Kathy Wellik on 7/8/16
</t>
        </r>
      </text>
    </comment>
    <comment ref="C29" authorId="1" shapeId="0" xr:uid="{00000000-0006-0000-0100-000011000000}">
      <text>
        <r>
          <rPr>
            <b/>
            <sz val="8"/>
            <color indexed="81"/>
            <rFont val="Tahoma"/>
            <family val="2"/>
          </rPr>
          <t xml:space="preserve">gallons - Data provided by Kathy Wellik on 7/8/16
</t>
        </r>
      </text>
    </comment>
    <comment ref="C30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Gallons, data provide by Dave Hurst
</t>
        </r>
      </text>
    </comment>
    <comment ref="C31" authorId="1" shapeId="0" xr:uid="{00000000-0006-0000-0100-000013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2" authorId="1" shapeId="0" xr:uid="{00000000-0006-0000-0100-000014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3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6" authorId="1" shapeId="0" xr:uid="{00000000-0006-0000-0100-000016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7" authorId="1" shapeId="0" xr:uid="{00000000-0006-0000-0100-000017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8" authorId="2" shapeId="0" xr:uid="{00000000-0006-0000-0100-000018000000}">
      <text>
        <r>
          <rPr>
            <b/>
            <sz val="8"/>
            <color indexed="81"/>
            <rFont val="Tahoma"/>
            <family val="2"/>
          </rPr>
          <t xml:space="preserve">million gallons
</t>
        </r>
      </text>
    </comment>
    <comment ref="C39" authorId="2" shapeId="0" xr:uid="{00000000-0006-0000-0100-000019000000}">
      <text>
        <r>
          <rPr>
            <b/>
            <sz val="8"/>
            <color indexed="81"/>
            <rFont val="Tahoma"/>
            <family val="2"/>
          </rPr>
          <t xml:space="preserve">million gallons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  <author>Dave Miller</author>
    <author>mwitte</author>
  </authors>
  <commentList>
    <comment ref="C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D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E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C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D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D9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10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D10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E10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7.06 grams of CH4 per gallon</t>
        </r>
      </text>
    </comment>
    <comment ref="C25" authorId="1" shapeId="0" xr:uid="{00000000-0006-0000-0200-00000D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6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7" authorId="1" shapeId="0" xr:uid="{00000000-0006-0000-0200-00000F000000}">
      <text>
        <r>
          <rPr>
            <b/>
            <sz val="8"/>
            <color indexed="81"/>
            <rFont val="Tahoma"/>
            <family val="2"/>
          </rPr>
          <t>gallons - Data provided by Kathy Wellik on 7/22/15</t>
        </r>
      </text>
    </comment>
    <comment ref="C28" authorId="1" shapeId="0" xr:uid="{00000000-0006-0000-0200-000010000000}">
      <text>
        <r>
          <rPr>
            <b/>
            <sz val="8"/>
            <color indexed="81"/>
            <rFont val="Tahoma"/>
            <family val="2"/>
          </rPr>
          <t>gallons - Data provided by Kathy Wellik on 7/22/15</t>
        </r>
      </text>
    </comment>
    <comment ref="C29" authorId="1" shapeId="0" xr:uid="{00000000-0006-0000-0200-000011000000}">
      <text>
        <r>
          <rPr>
            <b/>
            <sz val="8"/>
            <color indexed="81"/>
            <rFont val="Tahoma"/>
            <family val="2"/>
          </rPr>
          <t>gallons - Data provided by Kathy Wellik on 7/22/15</t>
        </r>
      </text>
    </comment>
    <comment ref="C30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Gallons, data provide by Dave Hurst
</t>
        </r>
      </text>
    </comment>
    <comment ref="C31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2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3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6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7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8" authorId="2" shapeId="0" xr:uid="{00000000-0006-0000-0200-000018000000}">
      <text>
        <r>
          <rPr>
            <b/>
            <sz val="8"/>
            <color indexed="81"/>
            <rFont val="Tahoma"/>
            <family val="2"/>
          </rPr>
          <t>Mgal</t>
        </r>
      </text>
    </comment>
    <comment ref="C39" authorId="2" shapeId="0" xr:uid="{00000000-0006-0000-0200-000019000000}">
      <text>
        <r>
          <rPr>
            <b/>
            <sz val="8"/>
            <color indexed="81"/>
            <rFont val="Tahoma"/>
            <family val="2"/>
          </rPr>
          <t>Mgal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  <author>Dave Miller</author>
    <author>mwitte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D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E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C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D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9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D9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9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10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D1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E1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7.06 grams of CH4 per gallon</t>
        </r>
      </text>
    </comment>
    <comment ref="C25" authorId="1" shapeId="0" xr:uid="{00000000-0006-0000-0300-00000D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6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7" authorId="1" shapeId="0" xr:uid="{00000000-0006-0000-0300-00000F000000}">
      <text>
        <r>
          <rPr>
            <b/>
            <sz val="8"/>
            <color indexed="81"/>
            <rFont val="Tahoma"/>
            <family val="2"/>
          </rPr>
          <t>gallons - Data provided by Kathy Wellik on 8/22/14</t>
        </r>
      </text>
    </comment>
    <comment ref="C28" authorId="1" shapeId="0" xr:uid="{00000000-0006-0000-0300-000010000000}">
      <text>
        <r>
          <rPr>
            <b/>
            <sz val="8"/>
            <color indexed="81"/>
            <rFont val="Tahoma"/>
            <family val="2"/>
          </rPr>
          <t>gallons - Data provided by Kathy Wellik on 8/22/14</t>
        </r>
      </text>
    </comment>
    <comment ref="C29" authorId="1" shapeId="0" xr:uid="{00000000-0006-0000-0300-000011000000}">
      <text>
        <r>
          <rPr>
            <b/>
            <sz val="8"/>
            <color indexed="81"/>
            <rFont val="Tahoma"/>
            <family val="2"/>
          </rPr>
          <t>gallons - Data provided by Kathy Wellik on 8/22/14</t>
        </r>
      </text>
    </comment>
    <comment ref="C30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Gallons, data provide by Dave Hurst
</t>
        </r>
      </text>
    </comment>
    <comment ref="C31" authorId="1" shapeId="0" xr:uid="{00000000-0006-0000-0300-000013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2" authorId="1" shapeId="0" xr:uid="{00000000-0006-0000-0300-000014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3" authorId="1" shapeId="0" xr:uid="{00000000-0006-0000-0300-000015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6" authorId="1" shapeId="0" xr:uid="{00000000-0006-0000-0300-000016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7" authorId="1" shapeId="0" xr:uid="{00000000-0006-0000-0300-000017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8" authorId="2" shapeId="0" xr:uid="{00000000-0006-0000-0300-000018000000}">
      <text>
        <r>
          <rPr>
            <b/>
            <sz val="8"/>
            <color indexed="81"/>
            <rFont val="Tahoma"/>
            <family val="2"/>
          </rPr>
          <t>Mgal</t>
        </r>
      </text>
    </comment>
    <comment ref="C39" authorId="2" shapeId="0" xr:uid="{00000000-0006-0000-0300-000019000000}">
      <text>
        <r>
          <rPr>
            <b/>
            <sz val="8"/>
            <color indexed="81"/>
            <rFont val="Tahoma"/>
            <family val="2"/>
          </rPr>
          <t>Mgal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  <author>Dave Miller</author>
    <author>mwitte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D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E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C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D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8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9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D9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9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10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D10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E10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7.06 grams of CH4 per gallon</t>
        </r>
      </text>
    </comment>
    <comment ref="C25" authorId="1" shapeId="0" xr:uid="{00000000-0006-0000-0400-00000D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6" authorId="1" shapeId="0" xr:uid="{00000000-0006-0000-0400-00000E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7" authorId="1" shapeId="0" xr:uid="{00000000-0006-0000-0400-00000F000000}">
      <text>
        <r>
          <rPr>
            <b/>
            <sz val="8"/>
            <color indexed="81"/>
            <rFont val="Tahoma"/>
            <family val="2"/>
          </rPr>
          <t>gallons</t>
        </r>
      </text>
    </comment>
    <comment ref="C28" authorId="1" shapeId="0" xr:uid="{00000000-0006-0000-0400-000010000000}">
      <text>
        <r>
          <rPr>
            <b/>
            <sz val="8"/>
            <color indexed="81"/>
            <rFont val="Tahoma"/>
            <family val="2"/>
          </rPr>
          <t>gallons</t>
        </r>
      </text>
    </comment>
    <comment ref="C29" authorId="1" shapeId="0" xr:uid="{00000000-0006-0000-0400-000011000000}">
      <text>
        <r>
          <rPr>
            <b/>
            <sz val="8"/>
            <color indexed="81"/>
            <rFont val="Tahoma"/>
            <family val="2"/>
          </rPr>
          <t>gallons</t>
        </r>
      </text>
    </comment>
    <comment ref="C30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Gallons, data provide by Dave Hurst
</t>
        </r>
      </text>
    </comment>
    <comment ref="C31" authorId="1" shapeId="0" xr:uid="{00000000-0006-0000-0400-000013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2" authorId="1" shapeId="0" xr:uid="{00000000-0006-0000-0400-000014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3" authorId="1" shapeId="0" xr:uid="{00000000-0006-0000-0400-000015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6" authorId="1" shapeId="0" xr:uid="{00000000-0006-0000-0400-000016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7" authorId="1" shapeId="0" xr:uid="{00000000-0006-0000-0400-000017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8" authorId="2" shapeId="0" xr:uid="{00000000-0006-0000-0400-000018000000}">
      <text>
        <r>
          <rPr>
            <b/>
            <sz val="8"/>
            <color indexed="81"/>
            <rFont val="Tahoma"/>
            <family val="2"/>
          </rPr>
          <t>Mgal</t>
        </r>
      </text>
    </comment>
    <comment ref="C39" authorId="2" shapeId="0" xr:uid="{00000000-0006-0000-0400-000019000000}">
      <text>
        <r>
          <rPr>
            <b/>
            <sz val="8"/>
            <color indexed="81"/>
            <rFont val="Tahoma"/>
            <family val="2"/>
          </rPr>
          <t>Mgal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Witt, Jeffrey D [FPM]</author>
    <author>Dave Miller</author>
    <author>mwitte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10.21 kg per gallon</t>
        </r>
      </text>
    </comment>
    <comment ref="D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E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0.26 grams per gallon
</t>
        </r>
      </text>
    </comment>
    <comment ref="C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- assume 10% ethanol
</t>
        </r>
      </text>
    </comment>
    <comment ref="D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8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9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8.78 kg per gallon for gasoline and 5.75 kg per gallon for ethanol 
</t>
        </r>
      </text>
    </comment>
    <comment ref="D9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E9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0.22 grams per gallon
</t>
        </r>
      </text>
    </comment>
    <comment ref="C10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8.31 kg CO2 per gallon</t>
        </r>
      </text>
    </comment>
    <comment ref="D10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 factor is 0.11 grams N2O per gallon
</t>
        </r>
      </text>
    </comment>
    <comment ref="E10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EPA Emissions factor is 7.06 grams of CH4 per gallon</t>
        </r>
      </text>
    </comment>
    <comment ref="C25" authorId="1" shapeId="0" xr:uid="{00000000-0006-0000-0500-00000D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6" authorId="1" shapeId="0" xr:uid="{00000000-0006-0000-0500-00000E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8" authorId="1" shapeId="0" xr:uid="{00000000-0006-0000-0500-00000F000000}">
      <text>
        <r>
          <rPr>
            <b/>
            <sz val="8"/>
            <color indexed="81"/>
            <rFont val="Tahoma"/>
            <family val="2"/>
          </rPr>
          <t>gallons</t>
        </r>
      </text>
    </comment>
    <comment ref="C30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Witt, Jeffrey D [FPM]:</t>
        </r>
        <r>
          <rPr>
            <sz val="9"/>
            <color indexed="81"/>
            <rFont val="Tahoma"/>
            <family val="2"/>
          </rPr>
          <t xml:space="preserve">
Gallons, data provide by Dave Hurst
</t>
        </r>
      </text>
    </comment>
    <comment ref="C31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4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5" authorId="2" shapeId="0" xr:uid="{00000000-0006-0000-0500-000013000000}">
      <text>
        <r>
          <rPr>
            <b/>
            <sz val="8"/>
            <color indexed="81"/>
            <rFont val="Tahoma"/>
            <family val="2"/>
          </rPr>
          <t>Mgal</t>
        </r>
      </text>
    </comment>
    <comment ref="C36" authorId="2" shapeId="0" xr:uid="{00000000-0006-0000-0500-000014000000}">
      <text>
        <r>
          <rPr>
            <b/>
            <sz val="8"/>
            <color indexed="81"/>
            <rFont val="Tahoma"/>
            <family val="2"/>
          </rPr>
          <t>Mgal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Miller</author>
    <author>mwitte</author>
  </authors>
  <commentList>
    <comment ref="C2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5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Tons</t>
        </r>
      </text>
    </comment>
    <comment ref="C27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gallons</t>
        </r>
      </text>
    </comment>
    <comment ref="C29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cuf</t>
        </r>
      </text>
    </comment>
    <comment ref="C30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Mwh</t>
        </r>
      </text>
    </comment>
    <comment ref="C31" authorId="1" shapeId="0" xr:uid="{00000000-0006-0000-0600-000006000000}">
      <text>
        <r>
          <rPr>
            <b/>
            <sz val="8"/>
            <color indexed="81"/>
            <rFont val="Tahoma"/>
            <family val="2"/>
          </rPr>
          <t>Mgal</t>
        </r>
      </text>
    </comment>
    <comment ref="C32" authorId="1" shapeId="0" xr:uid="{00000000-0006-0000-0600-000007000000}">
      <text>
        <r>
          <rPr>
            <b/>
            <sz val="8"/>
            <color indexed="81"/>
            <rFont val="Tahoma"/>
            <family val="2"/>
          </rPr>
          <t>Mgal</t>
        </r>
      </text>
    </comment>
  </commentList>
</comments>
</file>

<file path=xl/sharedStrings.xml><?xml version="1.0" encoding="utf-8"?>
<sst xmlns="http://schemas.openxmlformats.org/spreadsheetml/2006/main" count="1556" uniqueCount="199">
  <si>
    <t>Coal</t>
  </si>
  <si>
    <t>Spreader Boiler</t>
  </si>
  <si>
    <t>Fluid Bed Boiler</t>
  </si>
  <si>
    <t>CO2</t>
  </si>
  <si>
    <t>NOX</t>
  </si>
  <si>
    <t>CH4</t>
  </si>
  <si>
    <t>GHG Emission Factors</t>
  </si>
  <si>
    <t>Lb/Ton</t>
  </si>
  <si>
    <t>Methane</t>
  </si>
  <si>
    <t>Calculating CO2 Equivalents</t>
  </si>
  <si>
    <t>multiply by 1</t>
  </si>
  <si>
    <t>multiply by 296</t>
  </si>
  <si>
    <t>multiply by 23</t>
  </si>
  <si>
    <t>Natural Gas</t>
  </si>
  <si>
    <t>Electricity</t>
  </si>
  <si>
    <t>Lb/Mscf</t>
  </si>
  <si>
    <t>Purchased</t>
  </si>
  <si>
    <t>Lb/Mwh</t>
  </si>
  <si>
    <t>N2O</t>
  </si>
  <si>
    <t>Trucks/Equip</t>
  </si>
  <si>
    <t>Consumption</t>
  </si>
  <si>
    <t>CO2 Equivalent</t>
  </si>
  <si>
    <t>Total CO2</t>
  </si>
  <si>
    <t>Lbs</t>
  </si>
  <si>
    <t>Tons</t>
  </si>
  <si>
    <t>Iowa State University - Greenhouse Gas Emissions</t>
  </si>
  <si>
    <t>Btu/Lb</t>
  </si>
  <si>
    <t>Vehicles</t>
  </si>
  <si>
    <t>Diesel</t>
  </si>
  <si>
    <t>Lb/Gal</t>
  </si>
  <si>
    <t>Water</t>
  </si>
  <si>
    <t>Sewer</t>
  </si>
  <si>
    <t>Sold</t>
  </si>
  <si>
    <t>Lb/ Mgal</t>
  </si>
  <si>
    <t>Ethanol</t>
  </si>
  <si>
    <t>E85</t>
  </si>
  <si>
    <t>FY11</t>
  </si>
  <si>
    <t>FY12</t>
  </si>
  <si>
    <t>BTU/lb</t>
  </si>
  <si>
    <t>tons stoker coal @</t>
  </si>
  <si>
    <t>mmBTU coal equals</t>
  </si>
  <si>
    <t>mmBTU gas</t>
  </si>
  <si>
    <t>cuf gas</t>
  </si>
  <si>
    <t>tons</t>
  </si>
  <si>
    <t>FY13</t>
  </si>
  <si>
    <t>FY14</t>
  </si>
  <si>
    <t>Purchased (non-wind)</t>
  </si>
  <si>
    <t>Purchased - Campus</t>
  </si>
  <si>
    <t>Purchased - Power Plant</t>
  </si>
  <si>
    <t>Purchased - Vet Med</t>
  </si>
  <si>
    <t>Purchased - MISO</t>
  </si>
  <si>
    <t>Puchased - Vet Med</t>
  </si>
  <si>
    <t>lbs</t>
  </si>
  <si>
    <t>% of Total</t>
  </si>
  <si>
    <t>Campus Vehicles</t>
  </si>
  <si>
    <t>Natural Gas - Power Plant</t>
  </si>
  <si>
    <t>Natural Gas - Other</t>
  </si>
  <si>
    <t>Coal - Power Plant</t>
  </si>
  <si>
    <t>Purchased Electricity (non-wind)</t>
  </si>
  <si>
    <t>Water &amp; Sewer</t>
  </si>
  <si>
    <t>Purchased Electricity</t>
  </si>
  <si>
    <t>Power Plant Fuel</t>
  </si>
  <si>
    <t>Campus Vehicles, Natural Gas, Water &amp; Sewer</t>
  </si>
  <si>
    <t>FY15</t>
  </si>
  <si>
    <t>FY16</t>
  </si>
  <si>
    <t>Scope 1 Emissions</t>
  </si>
  <si>
    <t>Scope 2 Emissions</t>
  </si>
  <si>
    <t>Total Scope 1 Emissions</t>
  </si>
  <si>
    <t>Total Scope 2 Emissions</t>
  </si>
  <si>
    <t>University Plane</t>
  </si>
  <si>
    <t>Planes</t>
  </si>
  <si>
    <t>Aviation Fuel</t>
  </si>
  <si>
    <t>FY19</t>
  </si>
  <si>
    <t>Purchased - Main Campus</t>
  </si>
  <si>
    <t>Alumni Center</t>
  </si>
  <si>
    <t>Applied Science Complex</t>
  </si>
  <si>
    <t>ASLC</t>
  </si>
  <si>
    <t>ASB</t>
  </si>
  <si>
    <t>Bergstrom Football Complex</t>
  </si>
  <si>
    <t>Bergstrom Training Facility</t>
  </si>
  <si>
    <t>Buchanan</t>
  </si>
  <si>
    <t>EHSSB</t>
  </si>
  <si>
    <t>Ext 4H</t>
  </si>
  <si>
    <t>Geoffrey</t>
  </si>
  <si>
    <t>Jacobson/Olsen</t>
  </si>
  <si>
    <t>Knapp/Storms Dining</t>
  </si>
  <si>
    <t>Library Storage</t>
  </si>
  <si>
    <t>Family Child Care Center</t>
  </si>
  <si>
    <t>Larch</t>
  </si>
  <si>
    <t>LIDIF</t>
  </si>
  <si>
    <t>Lynn Fuhrer Lodge</t>
  </si>
  <si>
    <t>Maple</t>
  </si>
  <si>
    <t>MWL Commons</t>
  </si>
  <si>
    <t>NLAE</t>
  </si>
  <si>
    <t>Scheman</t>
  </si>
  <si>
    <t>Stadium</t>
  </si>
  <si>
    <t>SUVCC</t>
  </si>
  <si>
    <t>SV/UV Apartments</t>
  </si>
  <si>
    <t>Transportation Services</t>
  </si>
  <si>
    <t>UCCC-VM</t>
  </si>
  <si>
    <t>Vet Med/Lloyd</t>
  </si>
  <si>
    <t>Vet Med Field Services</t>
  </si>
  <si>
    <t>Vet Med Incinerator</t>
  </si>
  <si>
    <t>Vet Med Annex</t>
  </si>
  <si>
    <t>Wallace</t>
  </si>
  <si>
    <t>Waste Chem Building</t>
  </si>
  <si>
    <t>Willow</t>
  </si>
  <si>
    <t>Wilson</t>
  </si>
  <si>
    <t>Wallace/Wilson Commons</t>
  </si>
  <si>
    <t>VMRI Building 1</t>
  </si>
  <si>
    <t>VMRI Building 8</t>
  </si>
  <si>
    <t>VMRI Building 29</t>
  </si>
  <si>
    <t>VMRI Building 35</t>
  </si>
  <si>
    <t>VMRI Building 37</t>
  </si>
  <si>
    <t>VMRI Building 40</t>
  </si>
  <si>
    <t>DOE Mech</t>
  </si>
  <si>
    <t>DOE Maint</t>
  </si>
  <si>
    <t>DOE Shop</t>
  </si>
  <si>
    <t>DOE Warehouse</t>
  </si>
  <si>
    <t>Reiman Gardens</t>
  </si>
  <si>
    <t>Veenker Clubhouse</t>
  </si>
  <si>
    <t>Veenker Maintenance Bldg</t>
  </si>
  <si>
    <t>Cyclone Sports Complex</t>
  </si>
  <si>
    <t>Information Booth</t>
  </si>
  <si>
    <t>Mortenson Road Bike Path</t>
  </si>
  <si>
    <t>South 4th Intramural Fields</t>
  </si>
  <si>
    <t>South Campus Gateway</t>
  </si>
  <si>
    <t>Southwest Athletic Complex</t>
  </si>
  <si>
    <t>VMRI Buildings (all)</t>
  </si>
  <si>
    <t>Veenker Golf Cart Storage</t>
  </si>
  <si>
    <t>Veenker Irrigation Bldg</t>
  </si>
  <si>
    <t>Veenker Performance Center</t>
  </si>
  <si>
    <t>Metals</t>
  </si>
  <si>
    <t>Spedding</t>
  </si>
  <si>
    <t>Wilhelm</t>
  </si>
  <si>
    <t>TASF</t>
  </si>
  <si>
    <t>SIF</t>
  </si>
  <si>
    <t>GHG Emission Factors for AASHE STARS</t>
  </si>
  <si>
    <t>Units</t>
  </si>
  <si>
    <t>gallons</t>
  </si>
  <si>
    <t>cuf</t>
  </si>
  <si>
    <t>kwh</t>
  </si>
  <si>
    <t>Iowa State University - Greenhouse Gas Emissions for AASHE STARS</t>
  </si>
  <si>
    <t>million gal</t>
  </si>
  <si>
    <t>Aviation fuel</t>
  </si>
  <si>
    <t>Main Campus Gas</t>
  </si>
  <si>
    <t>Main Power Plant Gas</t>
  </si>
  <si>
    <t>Other Facility Gas</t>
  </si>
  <si>
    <t>mwh</t>
  </si>
  <si>
    <t>Vet Met Power Purchase</t>
  </si>
  <si>
    <t>Main Campus Power- MISO</t>
  </si>
  <si>
    <t>Other Facility Power</t>
  </si>
  <si>
    <t>Vet Med Plant Gas</t>
  </si>
  <si>
    <t>All STARS Water</t>
  </si>
  <si>
    <t>All STARS Sewer</t>
  </si>
  <si>
    <t>lbs CO2</t>
  </si>
  <si>
    <t>lbs N2O</t>
  </si>
  <si>
    <t>lbs CO2E</t>
  </si>
  <si>
    <t>lbs CH4</t>
  </si>
  <si>
    <t>Total Scope 1 &amp; 2 Emissions</t>
  </si>
  <si>
    <t>FY19 Summary Tables</t>
  </si>
  <si>
    <t>Purchased - Vet Med Plant</t>
  </si>
  <si>
    <t>HDD</t>
  </si>
  <si>
    <t>CDD</t>
  </si>
  <si>
    <t>FY12 Summary Tables</t>
  </si>
  <si>
    <t>Spreader Boiler Coal</t>
  </si>
  <si>
    <t>Fluid Bed Coal</t>
  </si>
  <si>
    <t>Total Scope 1 Emissions - Coal</t>
  </si>
  <si>
    <t>Total Scope 1 Emissions - Natural Gas</t>
  </si>
  <si>
    <t>Total Scope 1 Emissions - Vehicles</t>
  </si>
  <si>
    <t>mmBTU</t>
  </si>
  <si>
    <t>Source site ratio</t>
  </si>
  <si>
    <t>Grid purchased electricity, kwh</t>
  </si>
  <si>
    <t>Coal, tons</t>
  </si>
  <si>
    <t>Onsite renewable electricity, kwh</t>
  </si>
  <si>
    <t>Offsite renewable electricity, kwh</t>
  </si>
  <si>
    <t>Natural Gas, cubic feet</t>
  </si>
  <si>
    <t>FY22</t>
  </si>
  <si>
    <t>Metals/Spedding/TASF/Wilhelm aggregage</t>
  </si>
  <si>
    <t>DOE Mech/Maint/Shop/Warehouse aggregate</t>
  </si>
  <si>
    <t>ASLC - Hansen Ag. Stud. Learn</t>
  </si>
  <si>
    <t>Arboretum Shed - ISU Research</t>
  </si>
  <si>
    <t>Consumption provided by City of Ames</t>
  </si>
  <si>
    <t>Natural Fas</t>
  </si>
  <si>
    <t>Arboretum Storage Shed</t>
  </si>
  <si>
    <t>Vet Med Perf. Eval. Facility</t>
  </si>
  <si>
    <t>Purchased RECs</t>
  </si>
  <si>
    <t>FY22 Summary Tables</t>
  </si>
  <si>
    <t>REC Purchases</t>
  </si>
  <si>
    <t>Gas boilers</t>
  </si>
  <si>
    <t>CFB start up Gas</t>
  </si>
  <si>
    <t>Ames Wind Purchase</t>
  </si>
  <si>
    <t>Ames Solar Purchase</t>
  </si>
  <si>
    <t>Total Campus Natural Gas Consumption</t>
  </si>
  <si>
    <t>71 Diesel Gal. for</t>
  </si>
  <si>
    <t>Total Campus Electricity  Purchase</t>
  </si>
  <si>
    <t>ISU Wind Turbine Production</t>
  </si>
  <si>
    <t>ISU Solar Array Production</t>
  </si>
  <si>
    <t>Purchased electricity is from renewal sources via RECs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</si>
</sst>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000"/>
    <numFmt numFmtId="168" formatCode="_(* #,##0.000_);_(* \(#,##0.000\);_(* &quot;-&quot;??_);_(@_)"/>
    <numFmt numFmtId="169" formatCode="_(* #,##0.0000_);_(* \(#,##0.0000\);_(* &quot;-&quot;??_);_(@_)"/>
    <numFmt numFmtId="170" formatCode="0.000%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3" fillId="0" borderId="0" xfId="0" applyFont="1"/>
    <xf numFmtId="165" fontId="6" fillId="0" borderId="1" xfId="1" applyNumberFormat="1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0" xfId="0" applyNumberFormat="1" applyFont="1"/>
    <xf numFmtId="0" fontId="5" fillId="0" borderId="1" xfId="0" applyFont="1" applyFill="1" applyBorder="1"/>
    <xf numFmtId="165" fontId="5" fillId="0" borderId="1" xfId="1" applyNumberFormat="1" applyFont="1" applyBorder="1"/>
    <xf numFmtId="165" fontId="5" fillId="0" borderId="1" xfId="1" applyNumberFormat="1" applyFont="1" applyBorder="1" applyAlignment="1">
      <alignment horizontal="center"/>
    </xf>
    <xf numFmtId="165" fontId="5" fillId="0" borderId="0" xfId="1" applyNumberFormat="1" applyFont="1"/>
    <xf numFmtId="164" fontId="6" fillId="0" borderId="1" xfId="1" applyNumberFormat="1" applyFont="1" applyBorder="1"/>
    <xf numFmtId="165" fontId="5" fillId="0" borderId="0" xfId="0" applyNumberFormat="1" applyFont="1"/>
    <xf numFmtId="43" fontId="5" fillId="0" borderId="1" xfId="1" applyNumberFormat="1" applyFont="1" applyBorder="1" applyAlignment="1">
      <alignment horizontal="center"/>
    </xf>
    <xf numFmtId="166" fontId="5" fillId="0" borderId="0" xfId="2" applyNumberFormat="1" applyFont="1"/>
    <xf numFmtId="165" fontId="6" fillId="0" borderId="1" xfId="1" applyNumberFormat="1" applyFont="1" applyFill="1" applyBorder="1"/>
    <xf numFmtId="165" fontId="0" fillId="0" borderId="0" xfId="0" applyNumberFormat="1"/>
    <xf numFmtId="43" fontId="0" fillId="0" borderId="0" xfId="0" applyNumberForma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5" fillId="0" borderId="0" xfId="1" applyNumberFormat="1" applyFont="1"/>
    <xf numFmtId="166" fontId="5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3" fillId="0" borderId="1" xfId="0" applyFont="1" applyBorder="1"/>
    <xf numFmtId="0" fontId="5" fillId="0" borderId="2" xfId="0" applyFont="1" applyBorder="1"/>
    <xf numFmtId="165" fontId="5" fillId="0" borderId="3" xfId="0" applyNumberFormat="1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43" fontId="5" fillId="0" borderId="0" xfId="0" applyNumberFormat="1" applyFont="1" applyBorder="1"/>
    <xf numFmtId="0" fontId="5" fillId="0" borderId="6" xfId="0" applyFont="1" applyBorder="1"/>
    <xf numFmtId="165" fontId="5" fillId="0" borderId="0" xfId="0" applyNumberFormat="1" applyFont="1" applyBorder="1"/>
    <xf numFmtId="0" fontId="5" fillId="0" borderId="7" xfId="0" applyFont="1" applyBorder="1"/>
    <xf numFmtId="0" fontId="5" fillId="0" borderId="8" xfId="0" applyFont="1" applyBorder="1"/>
    <xf numFmtId="43" fontId="5" fillId="0" borderId="8" xfId="0" applyNumberFormat="1" applyFont="1" applyBorder="1"/>
    <xf numFmtId="0" fontId="5" fillId="0" borderId="9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7" fontId="5" fillId="0" borderId="1" xfId="0" applyNumberFormat="1" applyFont="1" applyBorder="1" applyAlignment="1">
      <alignment horizontal="center"/>
    </xf>
    <xf numFmtId="165" fontId="5" fillId="0" borderId="0" xfId="2" applyNumberFormat="1" applyFont="1"/>
    <xf numFmtId="165" fontId="5" fillId="0" borderId="1" xfId="1" applyNumberFormat="1" applyFont="1" applyFill="1" applyBorder="1"/>
    <xf numFmtId="164" fontId="5" fillId="0" borderId="1" xfId="1" applyNumberFormat="1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43" fontId="0" fillId="0" borderId="0" xfId="0" applyNumberFormat="1" applyBorder="1"/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165" fontId="5" fillId="0" borderId="11" xfId="1" applyNumberFormat="1" applyFont="1" applyBorder="1" applyAlignment="1">
      <alignment horizontal="center"/>
    </xf>
    <xf numFmtId="43" fontId="5" fillId="0" borderId="11" xfId="1" applyNumberFormat="1" applyFont="1" applyBorder="1" applyAlignment="1">
      <alignment horizontal="center"/>
    </xf>
    <xf numFmtId="0" fontId="5" fillId="0" borderId="0" xfId="0" applyFont="1" applyFill="1" applyBorder="1"/>
    <xf numFmtId="165" fontId="5" fillId="0" borderId="0" xfId="1" applyNumberFormat="1" applyFont="1" applyFill="1" applyBorder="1"/>
    <xf numFmtId="165" fontId="6" fillId="0" borderId="0" xfId="1" applyNumberFormat="1" applyFont="1" applyFill="1" applyBorder="1"/>
    <xf numFmtId="164" fontId="5" fillId="0" borderId="0" xfId="1" applyNumberFormat="1" applyFont="1" applyFill="1" applyBorder="1"/>
    <xf numFmtId="0" fontId="0" fillId="0" borderId="0" xfId="0" applyFill="1" applyBorder="1"/>
    <xf numFmtId="0" fontId="0" fillId="0" borderId="10" xfId="0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5" fontId="5" fillId="0" borderId="0" xfId="1" applyNumberFormat="1" applyFont="1" applyBorder="1"/>
    <xf numFmtId="165" fontId="5" fillId="0" borderId="0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/>
    <xf numFmtId="165" fontId="3" fillId="0" borderId="1" xfId="1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Fill="1" applyBorder="1"/>
    <xf numFmtId="165" fontId="5" fillId="0" borderId="0" xfId="1" applyNumberFormat="1" applyFont="1" applyBorder="1" applyAlignment="1">
      <alignment horizontal="center"/>
    </xf>
    <xf numFmtId="43" fontId="5" fillId="0" borderId="0" xfId="1" applyNumberFormat="1" applyFont="1" applyBorder="1" applyAlignment="1">
      <alignment horizontal="center"/>
    </xf>
    <xf numFmtId="43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5" fontId="0" fillId="0" borderId="0" xfId="0" applyNumberFormat="1" applyBorder="1"/>
    <xf numFmtId="43" fontId="3" fillId="0" borderId="0" xfId="1" applyNumberFormat="1" applyFont="1" applyBorder="1" applyAlignment="1">
      <alignment horizontal="right"/>
    </xf>
    <xf numFmtId="165" fontId="5" fillId="0" borderId="1" xfId="1" applyNumberFormat="1" applyFont="1" applyFill="1" applyBorder="1" applyAlignment="1"/>
    <xf numFmtId="165" fontId="5" fillId="0" borderId="11" xfId="1" applyNumberFormat="1" applyFont="1" applyFill="1" applyBorder="1"/>
    <xf numFmtId="165" fontId="3" fillId="0" borderId="11" xfId="1" applyNumberFormat="1" applyFont="1" applyFill="1" applyBorder="1"/>
    <xf numFmtId="165" fontId="5" fillId="0" borderId="11" xfId="1" applyNumberFormat="1" applyFont="1" applyFill="1" applyBorder="1" applyAlignment="1"/>
    <xf numFmtId="0" fontId="3" fillId="0" borderId="0" xfId="0" applyFont="1" applyAlignment="1">
      <alignment horizontal="center"/>
    </xf>
    <xf numFmtId="0" fontId="3" fillId="0" borderId="10" xfId="0" applyFont="1" applyBorder="1"/>
    <xf numFmtId="0" fontId="5" fillId="0" borderId="11" xfId="0" applyFont="1" applyBorder="1"/>
    <xf numFmtId="165" fontId="5" fillId="2" borderId="1" xfId="1" applyNumberFormat="1" applyFont="1" applyFill="1" applyBorder="1"/>
    <xf numFmtId="165" fontId="0" fillId="0" borderId="0" xfId="1" applyNumberFormat="1" applyFont="1"/>
    <xf numFmtId="0" fontId="5" fillId="0" borderId="0" xfId="0" applyFont="1" applyAlignment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165" fontId="5" fillId="0" borderId="2" xfId="1" applyNumberFormat="1" applyFont="1" applyFill="1" applyBorder="1"/>
    <xf numFmtId="0" fontId="5" fillId="0" borderId="3" xfId="0" applyFont="1" applyBorder="1"/>
    <xf numFmtId="165" fontId="5" fillId="0" borderId="5" xfId="1" applyNumberFormat="1" applyFont="1" applyFill="1" applyBorder="1"/>
    <xf numFmtId="0" fontId="2" fillId="0" borderId="0" xfId="0" applyFont="1" applyBorder="1"/>
    <xf numFmtId="0" fontId="5" fillId="0" borderId="6" xfId="0" applyFont="1" applyFill="1" applyBorder="1"/>
    <xf numFmtId="165" fontId="6" fillId="0" borderId="5" xfId="1" applyNumberFormat="1" applyFont="1" applyFill="1" applyBorder="1"/>
    <xf numFmtId="165" fontId="5" fillId="0" borderId="7" xfId="1" applyNumberFormat="1" applyFont="1" applyFill="1" applyBorder="1"/>
    <xf numFmtId="165" fontId="5" fillId="0" borderId="8" xfId="1" applyNumberFormat="1" applyFont="1" applyFill="1" applyBorder="1"/>
    <xf numFmtId="165" fontId="5" fillId="0" borderId="8" xfId="1" applyNumberFormat="1" applyFont="1" applyBorder="1" applyAlignment="1">
      <alignment horizontal="center"/>
    </xf>
    <xf numFmtId="43" fontId="5" fillId="0" borderId="8" xfId="1" applyNumberFormat="1" applyFont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43" fontId="3" fillId="0" borderId="8" xfId="1" applyNumberFormat="1" applyFont="1" applyBorder="1" applyAlignment="1">
      <alignment horizontal="right"/>
    </xf>
    <xf numFmtId="43" fontId="5" fillId="0" borderId="0" xfId="1" applyNumberFormat="1" applyFont="1" applyFill="1" applyBorder="1"/>
    <xf numFmtId="165" fontId="5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9" fillId="0" borderId="1" xfId="0" applyFont="1" applyBorder="1"/>
    <xf numFmtId="165" fontId="3" fillId="0" borderId="1" xfId="1" applyNumberFormat="1" applyFont="1" applyBorder="1"/>
    <xf numFmtId="165" fontId="1" fillId="0" borderId="0" xfId="1" applyNumberFormat="1" applyFont="1" applyFill="1" applyBorder="1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/>
    <xf numFmtId="0" fontId="1" fillId="0" borderId="0" xfId="0" applyFont="1"/>
    <xf numFmtId="0" fontId="5" fillId="0" borderId="0" xfId="0" applyFont="1" applyFill="1"/>
    <xf numFmtId="165" fontId="3" fillId="0" borderId="13" xfId="1" applyNumberFormat="1" applyFont="1" applyFill="1" applyBorder="1"/>
    <xf numFmtId="165" fontId="3" fillId="0" borderId="0" xfId="1" applyNumberFormat="1" applyFont="1" applyFill="1" applyBorder="1"/>
    <xf numFmtId="164" fontId="3" fillId="0" borderId="1" xfId="1" applyNumberFormat="1" applyFont="1" applyFill="1" applyBorder="1"/>
    <xf numFmtId="43" fontId="5" fillId="0" borderId="0" xfId="1" applyFont="1"/>
    <xf numFmtId="0" fontId="1" fillId="0" borderId="0" xfId="0" applyFont="1" applyAlignment="1">
      <alignment horizontal="center"/>
    </xf>
    <xf numFmtId="0" fontId="5" fillId="4" borderId="1" xfId="0" applyFont="1" applyFill="1" applyBorder="1"/>
    <xf numFmtId="165" fontId="1" fillId="0" borderId="1" xfId="1" applyNumberFormat="1" applyFont="1" applyFill="1" applyBorder="1"/>
    <xf numFmtId="43" fontId="5" fillId="0" borderId="0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0" borderId="1" xfId="0" applyFont="1" applyFill="1" applyBorder="1"/>
    <xf numFmtId="165" fontId="5" fillId="0" borderId="10" xfId="1" applyNumberFormat="1" applyFont="1" applyBorder="1"/>
    <xf numFmtId="165" fontId="5" fillId="0" borderId="0" xfId="0" applyNumberFormat="1" applyFont="1" applyFill="1" applyBorder="1"/>
    <xf numFmtId="170" fontId="5" fillId="0" borderId="0" xfId="2" applyNumberFormat="1" applyFont="1" applyFill="1" applyBorder="1"/>
    <xf numFmtId="168" fontId="5" fillId="0" borderId="0" xfId="1" applyNumberFormat="1" applyFont="1" applyBorder="1" applyAlignment="1">
      <alignment horizontal="center"/>
    </xf>
    <xf numFmtId="43" fontId="5" fillId="0" borderId="0" xfId="0" applyNumberFormat="1" applyFont="1"/>
    <xf numFmtId="165" fontId="10" fillId="0" borderId="1" xfId="1" applyNumberFormat="1" applyFont="1" applyBorder="1"/>
    <xf numFmtId="165" fontId="3" fillId="0" borderId="1" xfId="1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10" fontId="6" fillId="0" borderId="0" xfId="2" applyNumberFormat="1" applyFont="1" applyFill="1" applyBorder="1"/>
    <xf numFmtId="169" fontId="6" fillId="0" borderId="0" xfId="1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left"/>
    </xf>
    <xf numFmtId="165" fontId="5" fillId="0" borderId="11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7B20-D195-4DB9-BEA9-132659129A9A}">
  <sheetPr>
    <pageSetUpPr fitToPage="1"/>
  </sheetPr>
  <dimension ref="A1:T224"/>
  <sheetViews>
    <sheetView tabSelected="1" zoomScale="80" zoomScaleNormal="80" workbookViewId="0">
      <pane ySplit="19" topLeftCell="A89" activePane="bottomLeft" state="frozen"/>
      <selection pane="bottomLeft" sqref="A1:J1"/>
    </sheetView>
  </sheetViews>
  <sheetFormatPr defaultColWidth="8.85546875" defaultRowHeight="12.75" x14ac:dyDescent="0.2"/>
  <cols>
    <col min="1" max="1" width="11.5703125" style="8" customWidth="1"/>
    <col min="2" max="2" width="25" style="8" bestFit="1" customWidth="1"/>
    <col min="3" max="3" width="11.140625" style="8" customWidth="1"/>
    <col min="4" max="4" width="14.85546875" style="8" customWidth="1"/>
    <col min="5" max="5" width="15.42578125" style="8" customWidth="1"/>
    <col min="6" max="6" width="12.85546875" style="8" bestFit="1" customWidth="1"/>
    <col min="7" max="7" width="12.85546875" style="8" customWidth="1"/>
    <col min="8" max="8" width="13.42578125" style="8" customWidth="1"/>
    <col min="9" max="9" width="12.140625" style="8" bestFit="1" customWidth="1"/>
    <col min="10" max="10" width="14" style="8" bestFit="1" customWidth="1"/>
    <col min="11" max="11" width="17.85546875" style="8" bestFit="1" customWidth="1"/>
    <col min="12" max="12" width="15" style="8" bestFit="1" customWidth="1"/>
    <col min="13" max="13" width="14.28515625" style="8" bestFit="1" customWidth="1"/>
    <col min="14" max="14" width="11.140625" style="8" bestFit="1" customWidth="1"/>
    <col min="15" max="15" width="15" style="8" bestFit="1" customWidth="1"/>
    <col min="16" max="16" width="14.28515625" style="8" bestFit="1" customWidth="1"/>
    <col min="17" max="17" width="14" style="8" bestFit="1" customWidth="1"/>
    <col min="18" max="18" width="8.85546875" style="8"/>
    <col min="19" max="19" width="12.5703125" style="8" bestFit="1" customWidth="1"/>
    <col min="20" max="16384" width="8.85546875" style="8"/>
  </cols>
  <sheetData>
    <row r="1" spans="1:13" ht="15.75" x14ac:dyDescent="0.25">
      <c r="A1" s="142" t="s">
        <v>137</v>
      </c>
      <c r="B1" s="142"/>
      <c r="C1" s="142"/>
      <c r="D1" s="142"/>
      <c r="E1" s="142"/>
      <c r="F1" s="142"/>
      <c r="G1" s="142"/>
      <c r="H1" s="142"/>
      <c r="I1" s="142"/>
      <c r="J1" s="142"/>
      <c r="K1" s="106"/>
    </row>
    <row r="2" spans="1:13" ht="15.75" x14ac:dyDescent="0.25">
      <c r="D2" s="2"/>
    </row>
    <row r="3" spans="1:13" ht="15.75" x14ac:dyDescent="0.25">
      <c r="D3" s="2"/>
      <c r="F3" s="9" t="s">
        <v>8</v>
      </c>
      <c r="G3" s="9"/>
      <c r="H3" s="9"/>
      <c r="I3" s="9"/>
      <c r="K3" s="9" t="s">
        <v>37</v>
      </c>
      <c r="L3" s="9" t="s">
        <v>72</v>
      </c>
      <c r="M3" s="121" t="s">
        <v>177</v>
      </c>
    </row>
    <row r="4" spans="1:13" x14ac:dyDescent="0.2">
      <c r="A4" s="6"/>
      <c r="B4" s="6"/>
      <c r="C4" s="6"/>
      <c r="D4" s="67" t="s">
        <v>3</v>
      </c>
      <c r="E4" s="67" t="s">
        <v>18</v>
      </c>
      <c r="F4" s="67" t="s">
        <v>5</v>
      </c>
      <c r="G4" s="7"/>
      <c r="H4" s="7"/>
      <c r="I4" s="7"/>
      <c r="J4" s="23" t="s">
        <v>162</v>
      </c>
      <c r="K4" s="15">
        <v>4841</v>
      </c>
      <c r="L4" s="15">
        <v>6776</v>
      </c>
      <c r="M4" s="15">
        <v>5932</v>
      </c>
    </row>
    <row r="5" spans="1:13" x14ac:dyDescent="0.2">
      <c r="A5" s="6" t="s">
        <v>0</v>
      </c>
      <c r="B5" s="6" t="s">
        <v>1</v>
      </c>
      <c r="C5" s="6"/>
      <c r="D5" s="10">
        <v>6040</v>
      </c>
      <c r="E5" s="10">
        <v>0.04</v>
      </c>
      <c r="F5" s="10">
        <v>0.05</v>
      </c>
      <c r="G5" s="7" t="s">
        <v>7</v>
      </c>
      <c r="H5" s="138"/>
      <c r="I5" s="7"/>
      <c r="J5" s="23" t="s">
        <v>163</v>
      </c>
      <c r="K5" s="15">
        <v>1495</v>
      </c>
      <c r="L5" s="84">
        <v>1221</v>
      </c>
      <c r="M5" s="15">
        <v>1458</v>
      </c>
    </row>
    <row r="6" spans="1:13" x14ac:dyDescent="0.2">
      <c r="A6" s="6" t="s">
        <v>0</v>
      </c>
      <c r="B6" s="6" t="s">
        <v>2</v>
      </c>
      <c r="C6" s="6"/>
      <c r="D6" s="10">
        <v>6040</v>
      </c>
      <c r="E6" s="10">
        <v>3.5</v>
      </c>
      <c r="F6" s="10">
        <v>0.06</v>
      </c>
      <c r="G6" s="7" t="s">
        <v>7</v>
      </c>
      <c r="I6" s="7"/>
      <c r="J6" s="7"/>
      <c r="K6" s="7"/>
    </row>
    <row r="7" spans="1:13" x14ac:dyDescent="0.2">
      <c r="A7" s="6" t="s">
        <v>28</v>
      </c>
      <c r="B7" s="6" t="s">
        <v>19</v>
      </c>
      <c r="C7" s="6"/>
      <c r="D7" s="43">
        <f>10.21/2.0205</f>
        <v>5.0532046523137835</v>
      </c>
      <c r="E7" s="43">
        <f>0.26/1000/2.0205</f>
        <v>1.2868101954961644E-4</v>
      </c>
      <c r="F7" s="43">
        <f>0.26/1000/2.0205</f>
        <v>1.2868101954961644E-4</v>
      </c>
      <c r="G7" s="7" t="s">
        <v>29</v>
      </c>
      <c r="I7" s="7"/>
      <c r="J7" s="7"/>
      <c r="K7" s="7"/>
    </row>
    <row r="8" spans="1:13" x14ac:dyDescent="0.2">
      <c r="A8" s="6" t="s">
        <v>34</v>
      </c>
      <c r="B8" s="6" t="s">
        <v>27</v>
      </c>
      <c r="C8" s="6"/>
      <c r="D8" s="43">
        <f>(8.87*0.9+5.75*0.1)/2.0205</f>
        <v>4.2355852511754515</v>
      </c>
      <c r="E8" s="43">
        <f>0.22/1000/2.0205</f>
        <v>1.0888393961890621E-4</v>
      </c>
      <c r="F8" s="43">
        <f>0.22/1000/2.0205</f>
        <v>1.0888393961890621E-4</v>
      </c>
      <c r="G8" s="7" t="s">
        <v>29</v>
      </c>
      <c r="I8" s="7"/>
      <c r="J8" s="7"/>
      <c r="K8" s="7"/>
    </row>
    <row r="9" spans="1:13" x14ac:dyDescent="0.2">
      <c r="A9" s="6" t="s">
        <v>35</v>
      </c>
      <c r="B9" s="6" t="s">
        <v>27</v>
      </c>
      <c r="C9" s="6"/>
      <c r="D9" s="43">
        <f>(8.78*0.15+5.75*0.85)/2.0205</f>
        <v>3.0707745607522887</v>
      </c>
      <c r="E9" s="43">
        <f>0.22/1000/2.0205</f>
        <v>1.0888393961890621E-4</v>
      </c>
      <c r="F9" s="43">
        <f>0.22/1000/2.0205</f>
        <v>1.0888393961890621E-4</v>
      </c>
      <c r="G9" s="7" t="s">
        <v>29</v>
      </c>
      <c r="I9" s="7"/>
      <c r="J9" s="137"/>
      <c r="K9" s="7"/>
    </row>
    <row r="10" spans="1:13" x14ac:dyDescent="0.2">
      <c r="A10" s="6" t="s">
        <v>71</v>
      </c>
      <c r="B10" s="6" t="s">
        <v>70</v>
      </c>
      <c r="C10" s="6"/>
      <c r="D10" s="43">
        <f>8.31/2.0205</f>
        <v>4.1128433556050483</v>
      </c>
      <c r="E10" s="43">
        <f>0.11/1000/2.0205</f>
        <v>5.4441969809453104E-5</v>
      </c>
      <c r="F10" s="43">
        <f t="shared" ref="F10" si="0">7.06/1000/2.0205</f>
        <v>3.4941846077703531E-3</v>
      </c>
      <c r="G10" s="7" t="s">
        <v>29</v>
      </c>
      <c r="I10" s="7"/>
      <c r="J10" s="7"/>
      <c r="K10" s="124"/>
    </row>
    <row r="11" spans="1:13" x14ac:dyDescent="0.2">
      <c r="A11" s="6" t="s">
        <v>13</v>
      </c>
      <c r="B11" s="6" t="s">
        <v>16</v>
      </c>
      <c r="C11" s="6"/>
      <c r="D11" s="10">
        <v>120000</v>
      </c>
      <c r="E11" s="10">
        <v>94</v>
      </c>
      <c r="F11" s="10">
        <v>2.2999999999999998</v>
      </c>
      <c r="G11" s="7" t="s">
        <v>15</v>
      </c>
      <c r="I11" s="7"/>
      <c r="J11" s="7"/>
      <c r="K11" s="7"/>
    </row>
    <row r="12" spans="1:13" x14ac:dyDescent="0.2">
      <c r="A12" s="6" t="s">
        <v>14</v>
      </c>
      <c r="B12" s="6" t="s">
        <v>16</v>
      </c>
      <c r="C12" s="6"/>
      <c r="D12" s="10">
        <v>1982</v>
      </c>
      <c r="E12" s="10">
        <v>3.5999999999999997E-2</v>
      </c>
      <c r="F12" s="10">
        <v>1.34E-2</v>
      </c>
      <c r="G12" s="7" t="s">
        <v>17</v>
      </c>
      <c r="H12" s="115" t="s">
        <v>198</v>
      </c>
      <c r="I12" s="7"/>
      <c r="J12" s="70"/>
      <c r="K12" s="7"/>
    </row>
    <row r="13" spans="1:13" x14ac:dyDescent="0.2">
      <c r="A13" s="12" t="s">
        <v>30</v>
      </c>
      <c r="B13" s="12" t="s">
        <v>16</v>
      </c>
      <c r="C13" s="12"/>
      <c r="D13" s="10">
        <f>D12*1.5</f>
        <v>2973</v>
      </c>
      <c r="E13" s="10">
        <f>E12*1.5</f>
        <v>5.3999999999999992E-2</v>
      </c>
      <c r="F13" s="10">
        <f>F12*1.5</f>
        <v>2.01E-2</v>
      </c>
      <c r="G13" s="7" t="s">
        <v>33</v>
      </c>
      <c r="I13" s="7"/>
      <c r="J13" s="7"/>
      <c r="K13" s="7"/>
    </row>
    <row r="14" spans="1:13" x14ac:dyDescent="0.2">
      <c r="A14" s="6" t="s">
        <v>31</v>
      </c>
      <c r="B14" s="6" t="s">
        <v>32</v>
      </c>
      <c r="C14" s="6"/>
      <c r="D14" s="10">
        <f>D12*1.8</f>
        <v>3567.6</v>
      </c>
      <c r="E14" s="10">
        <f>E12*1.8</f>
        <v>6.4799999999999996E-2</v>
      </c>
      <c r="F14" s="10">
        <f>F12*1.8</f>
        <v>2.4120000000000003E-2</v>
      </c>
      <c r="G14" s="7" t="s">
        <v>33</v>
      </c>
      <c r="I14" s="7"/>
      <c r="J14" s="7"/>
      <c r="K14" s="7"/>
    </row>
    <row r="15" spans="1:13" x14ac:dyDescent="0.2">
      <c r="K15" s="15"/>
    </row>
    <row r="16" spans="1:13" x14ac:dyDescent="0.2">
      <c r="A16" s="4" t="s">
        <v>9</v>
      </c>
      <c r="K16" s="120"/>
    </row>
    <row r="17" spans="1:20" x14ac:dyDescent="0.2">
      <c r="A17" s="8" t="s">
        <v>3</v>
      </c>
      <c r="B17" s="8" t="s">
        <v>10</v>
      </c>
      <c r="D17" s="115"/>
      <c r="H17" s="116"/>
      <c r="I17" s="115"/>
      <c r="L17" s="17"/>
    </row>
    <row r="18" spans="1:20" x14ac:dyDescent="0.2">
      <c r="A18" s="8" t="s">
        <v>4</v>
      </c>
      <c r="B18" s="8" t="s">
        <v>11</v>
      </c>
      <c r="E18" s="17"/>
    </row>
    <row r="19" spans="1:20" x14ac:dyDescent="0.2">
      <c r="A19" s="8" t="s">
        <v>5</v>
      </c>
      <c r="B19" s="8" t="s">
        <v>12</v>
      </c>
    </row>
    <row r="20" spans="1:20" s="85" customFormat="1" x14ac:dyDescent="0.2"/>
    <row r="21" spans="1:20" ht="13.5" thickBot="1" x14ac:dyDescent="0.25"/>
    <row r="22" spans="1:20" ht="15.75" x14ac:dyDescent="0.25">
      <c r="A22" s="2" t="s">
        <v>142</v>
      </c>
      <c r="G22" s="29"/>
      <c r="H22" s="92"/>
      <c r="I22" s="92"/>
      <c r="J22" s="92"/>
      <c r="K22" s="92"/>
      <c r="L22" s="92"/>
      <c r="M22" s="92"/>
      <c r="N22" s="92"/>
      <c r="O22" s="92"/>
      <c r="P22" s="92"/>
      <c r="Q22" s="31"/>
    </row>
    <row r="23" spans="1:20" ht="15.75" x14ac:dyDescent="0.25">
      <c r="A23" s="4"/>
      <c r="D23" s="80" t="s">
        <v>37</v>
      </c>
      <c r="E23" s="80" t="s">
        <v>177</v>
      </c>
      <c r="F23" s="54"/>
      <c r="G23" s="101"/>
      <c r="H23" s="69" t="s">
        <v>164</v>
      </c>
      <c r="I23" s="54"/>
      <c r="J23" s="54"/>
      <c r="K23" s="54"/>
      <c r="L23" s="54"/>
      <c r="M23" s="94"/>
      <c r="N23" s="33"/>
      <c r="O23" s="33"/>
      <c r="P23" s="33"/>
      <c r="Q23" s="35"/>
    </row>
    <row r="24" spans="1:20" x14ac:dyDescent="0.2">
      <c r="A24" s="28" t="s">
        <v>65</v>
      </c>
      <c r="B24" s="28"/>
      <c r="C24" s="66" t="s">
        <v>138</v>
      </c>
      <c r="D24" s="66" t="s">
        <v>20</v>
      </c>
      <c r="E24" s="67" t="s">
        <v>20</v>
      </c>
      <c r="F24" s="27"/>
      <c r="G24" s="102"/>
      <c r="H24" s="28" t="s">
        <v>65</v>
      </c>
      <c r="I24" s="6"/>
      <c r="J24" s="66" t="s">
        <v>138</v>
      </c>
      <c r="K24" s="67" t="s">
        <v>20</v>
      </c>
      <c r="L24" s="68"/>
      <c r="M24" s="68" t="s">
        <v>155</v>
      </c>
      <c r="N24" s="67" t="s">
        <v>156</v>
      </c>
      <c r="O24" s="67" t="s">
        <v>158</v>
      </c>
      <c r="P24" s="67" t="s">
        <v>157</v>
      </c>
      <c r="Q24" s="35"/>
      <c r="R24" s="27"/>
    </row>
    <row r="25" spans="1:20" x14ac:dyDescent="0.2">
      <c r="A25" s="6" t="s">
        <v>0</v>
      </c>
      <c r="B25" s="6" t="s">
        <v>1</v>
      </c>
      <c r="C25" s="51" t="s">
        <v>43</v>
      </c>
      <c r="D25" s="13">
        <v>49215</v>
      </c>
      <c r="E25" s="13">
        <v>0</v>
      </c>
      <c r="F25" s="27"/>
      <c r="G25" s="102"/>
      <c r="H25" s="81"/>
      <c r="I25" s="82"/>
      <c r="J25" s="66"/>
      <c r="K25" s="67"/>
      <c r="L25" s="68"/>
      <c r="M25" s="68"/>
      <c r="N25" s="67"/>
      <c r="O25" s="67"/>
      <c r="P25" s="67"/>
      <c r="Q25" s="35"/>
      <c r="R25" s="27"/>
      <c r="S25" s="55"/>
      <c r="T25" s="54"/>
    </row>
    <row r="26" spans="1:20" x14ac:dyDescent="0.2">
      <c r="A26" s="6" t="s">
        <v>0</v>
      </c>
      <c r="B26" s="6" t="s">
        <v>2</v>
      </c>
      <c r="C26" s="51" t="s">
        <v>43</v>
      </c>
      <c r="D26" s="13">
        <v>85417</v>
      </c>
      <c r="E26" s="109">
        <v>49115</v>
      </c>
      <c r="F26" s="55"/>
      <c r="G26" s="93"/>
      <c r="H26" s="86" t="s">
        <v>165</v>
      </c>
      <c r="I26" s="82"/>
      <c r="J26" s="63" t="s">
        <v>43</v>
      </c>
      <c r="K26" s="88">
        <f t="shared" ref="K26:K34" si="1">D25</f>
        <v>49215</v>
      </c>
      <c r="L26" s="87"/>
      <c r="M26" s="89">
        <f>K26*D5</f>
        <v>297258600</v>
      </c>
      <c r="N26" s="88">
        <f>K26*E5</f>
        <v>1968.6000000000001</v>
      </c>
      <c r="O26" s="88">
        <f>K26*F5</f>
        <v>2460.75</v>
      </c>
      <c r="P26" s="14">
        <f>M26+N26*296+O26*23</f>
        <v>297897902.85000002</v>
      </c>
      <c r="Q26" s="35"/>
      <c r="R26" s="19"/>
      <c r="S26" s="55"/>
      <c r="T26" s="54"/>
    </row>
    <row r="27" spans="1:20" x14ac:dyDescent="0.2">
      <c r="A27" s="6" t="s">
        <v>28</v>
      </c>
      <c r="B27" s="6" t="s">
        <v>19</v>
      </c>
      <c r="C27" s="51" t="s">
        <v>139</v>
      </c>
      <c r="D27" s="13">
        <v>70845</v>
      </c>
      <c r="E27" s="64">
        <v>45778.48</v>
      </c>
      <c r="F27" s="110" t="s">
        <v>194</v>
      </c>
      <c r="G27" s="93"/>
      <c r="H27" s="140" t="s">
        <v>166</v>
      </c>
      <c r="I27" s="141"/>
      <c r="J27" s="63" t="s">
        <v>43</v>
      </c>
      <c r="K27" s="45">
        <f t="shared" si="1"/>
        <v>85417</v>
      </c>
      <c r="L27" s="77"/>
      <c r="M27" s="52">
        <f>K27*$D$6</f>
        <v>515918680</v>
      </c>
      <c r="N27" s="14">
        <f>K27*$E$6</f>
        <v>298959.5</v>
      </c>
      <c r="O27" s="14">
        <f>K27*$F$6</f>
        <v>5125.0199999999995</v>
      </c>
      <c r="P27" s="14">
        <f>M27+N27*296+O27*23</f>
        <v>604528567.46000004</v>
      </c>
      <c r="Q27" s="35"/>
      <c r="R27" s="19"/>
      <c r="S27" s="55"/>
      <c r="T27" s="128"/>
    </row>
    <row r="28" spans="1:20" x14ac:dyDescent="0.2">
      <c r="A28" s="6" t="s">
        <v>34</v>
      </c>
      <c r="B28" s="6" t="s">
        <v>27</v>
      </c>
      <c r="C28" s="51" t="s">
        <v>139</v>
      </c>
      <c r="D28" s="13">
        <v>201595</v>
      </c>
      <c r="E28" s="64">
        <v>137615.23000000001</v>
      </c>
      <c r="F28" s="110" t="s">
        <v>189</v>
      </c>
      <c r="G28" s="93"/>
      <c r="H28" s="140" t="s">
        <v>28</v>
      </c>
      <c r="I28" s="141"/>
      <c r="J28" s="63" t="s">
        <v>139</v>
      </c>
      <c r="K28" s="45">
        <f t="shared" si="1"/>
        <v>70845</v>
      </c>
      <c r="L28" s="77"/>
      <c r="M28" s="52">
        <f>K28*$D$7</f>
        <v>357994.28359317</v>
      </c>
      <c r="N28" s="14">
        <f>K28*7*20300*$E$7/1000000</f>
        <v>1.2954414105419452</v>
      </c>
      <c r="O28" s="14">
        <f>K28*7*20300*$F$7/1000000</f>
        <v>1.2954414105419452</v>
      </c>
      <c r="P28" s="14">
        <f t="shared" ref="P28:P35" si="2">M28+N28*296+O28*23</f>
        <v>358407.52940313291</v>
      </c>
      <c r="Q28" s="35"/>
      <c r="R28" s="19"/>
      <c r="S28" s="55"/>
      <c r="T28" s="54"/>
    </row>
    <row r="29" spans="1:20" x14ac:dyDescent="0.2">
      <c r="A29" s="6" t="s">
        <v>35</v>
      </c>
      <c r="B29" s="6" t="s">
        <v>27</v>
      </c>
      <c r="C29" s="51" t="s">
        <v>139</v>
      </c>
      <c r="D29" s="13">
        <v>78853</v>
      </c>
      <c r="E29" s="64">
        <v>68321.45</v>
      </c>
      <c r="F29" s="55"/>
      <c r="G29" s="93"/>
      <c r="H29" s="140" t="s">
        <v>34</v>
      </c>
      <c r="I29" s="141"/>
      <c r="J29" s="63" t="s">
        <v>139</v>
      </c>
      <c r="K29" s="45">
        <f t="shared" si="1"/>
        <v>201595</v>
      </c>
      <c r="L29" s="77"/>
      <c r="M29" s="52">
        <f>K29*$D$8</f>
        <v>853872.80871071515</v>
      </c>
      <c r="N29" s="14">
        <f>K29*7*20300*$E$8/1000000</f>
        <v>3.11916005444197</v>
      </c>
      <c r="O29" s="14">
        <f>K29*7*20300*$F$8/1000000</f>
        <v>3.11916005444197</v>
      </c>
      <c r="P29" s="14">
        <f t="shared" si="2"/>
        <v>854867.82076808217</v>
      </c>
      <c r="Q29" s="35"/>
      <c r="R29" s="19"/>
      <c r="S29" s="55"/>
      <c r="T29" s="128"/>
    </row>
    <row r="30" spans="1:20" x14ac:dyDescent="0.2">
      <c r="A30" s="6" t="s">
        <v>71</v>
      </c>
      <c r="B30" s="6" t="s">
        <v>69</v>
      </c>
      <c r="C30" s="51" t="s">
        <v>139</v>
      </c>
      <c r="D30" s="13">
        <v>17400</v>
      </c>
      <c r="E30" s="64">
        <v>7643</v>
      </c>
      <c r="F30" s="55"/>
      <c r="G30" s="93"/>
      <c r="H30" s="140" t="s">
        <v>35</v>
      </c>
      <c r="I30" s="141"/>
      <c r="J30" s="63" t="s">
        <v>139</v>
      </c>
      <c r="K30" s="45">
        <f t="shared" si="1"/>
        <v>78853</v>
      </c>
      <c r="L30" s="77"/>
      <c r="M30" s="52">
        <f>K30*$D$9</f>
        <v>242139.78643900022</v>
      </c>
      <c r="N30" s="14">
        <f>K30*7*20300*$E$9/1000000</f>
        <v>1.2200457738183619</v>
      </c>
      <c r="O30" s="14">
        <f>K30*7*20300*$F$9/1000000</f>
        <v>1.2200457738183619</v>
      </c>
      <c r="P30" s="14">
        <f t="shared" si="2"/>
        <v>242528.98104084827</v>
      </c>
      <c r="Q30" s="35"/>
      <c r="R30" s="19"/>
      <c r="S30" s="55"/>
      <c r="T30" s="54"/>
    </row>
    <row r="31" spans="1:20" x14ac:dyDescent="0.2">
      <c r="A31" s="6" t="s">
        <v>13</v>
      </c>
      <c r="B31" s="6" t="s">
        <v>73</v>
      </c>
      <c r="C31" s="51" t="s">
        <v>140</v>
      </c>
      <c r="D31" s="13">
        <v>20223600</v>
      </c>
      <c r="E31" s="64">
        <v>34845828</v>
      </c>
      <c r="F31" s="55"/>
      <c r="G31" s="93"/>
      <c r="H31" s="140" t="s">
        <v>144</v>
      </c>
      <c r="I31" s="141"/>
      <c r="J31" s="63" t="s">
        <v>139</v>
      </c>
      <c r="K31" s="45">
        <f t="shared" si="1"/>
        <v>17400</v>
      </c>
      <c r="L31" s="77"/>
      <c r="M31" s="52">
        <f>K31*D10</f>
        <v>71563.474387527836</v>
      </c>
      <c r="N31" s="14">
        <f>K31*E10</f>
        <v>0.94729027468448401</v>
      </c>
      <c r="O31" s="14">
        <f>K31*7*20300*$F$10/1000000</f>
        <v>8.6395112100965079</v>
      </c>
      <c r="P31" s="14">
        <f t="shared" si="2"/>
        <v>72042.581066666666</v>
      </c>
      <c r="Q31" s="35"/>
      <c r="R31" s="19"/>
      <c r="S31" s="55"/>
      <c r="T31" s="54"/>
    </row>
    <row r="32" spans="1:20" x14ac:dyDescent="0.2">
      <c r="A32" s="6" t="s">
        <v>13</v>
      </c>
      <c r="B32" s="6" t="s">
        <v>48</v>
      </c>
      <c r="C32" s="51" t="s">
        <v>140</v>
      </c>
      <c r="D32" s="13">
        <v>0</v>
      </c>
      <c r="E32" s="109">
        <v>1442247483.7869101</v>
      </c>
      <c r="F32" s="55">
        <v>10485123</v>
      </c>
      <c r="G32" s="93"/>
      <c r="H32" s="45" t="s">
        <v>145</v>
      </c>
      <c r="I32" s="45"/>
      <c r="J32" s="63" t="s">
        <v>140</v>
      </c>
      <c r="K32" s="45">
        <f t="shared" si="1"/>
        <v>20223600</v>
      </c>
      <c r="L32" s="77"/>
      <c r="M32" s="52">
        <f>K32*$D$11/1000000</f>
        <v>2426832</v>
      </c>
      <c r="N32" s="14">
        <f>K32*$E$11/1000000</f>
        <v>1901.0183999999999</v>
      </c>
      <c r="O32" s="14">
        <f>K32*$F$11/1000000</f>
        <v>46.514279999999999</v>
      </c>
      <c r="P32" s="14">
        <f t="shared" si="2"/>
        <v>2990603.2748399996</v>
      </c>
      <c r="Q32" s="35"/>
      <c r="S32" s="55"/>
      <c r="T32" s="54"/>
    </row>
    <row r="33" spans="1:20" x14ac:dyDescent="0.2">
      <c r="A33" s="6" t="s">
        <v>13</v>
      </c>
      <c r="B33" s="6" t="s">
        <v>161</v>
      </c>
      <c r="C33" s="51" t="s">
        <v>140</v>
      </c>
      <c r="D33" s="13">
        <v>43722000</v>
      </c>
      <c r="E33" s="109">
        <v>124058696.12273957</v>
      </c>
      <c r="F33" s="110" t="s">
        <v>190</v>
      </c>
      <c r="G33" s="93"/>
      <c r="H33" s="45" t="s">
        <v>146</v>
      </c>
      <c r="I33" s="45"/>
      <c r="J33" s="63" t="s">
        <v>140</v>
      </c>
      <c r="K33" s="45">
        <f t="shared" si="1"/>
        <v>0</v>
      </c>
      <c r="L33" s="77"/>
      <c r="M33" s="52">
        <f t="shared" ref="M33:M35" si="3">K33*$D$11/1000000</f>
        <v>0</v>
      </c>
      <c r="N33" s="14">
        <f t="shared" ref="N33:N35" si="4">K33*$E$11/1000000</f>
        <v>0</v>
      </c>
      <c r="O33" s="14">
        <f t="shared" ref="O33:O35" si="5">K33*$F$11/1000000</f>
        <v>0</v>
      </c>
      <c r="P33" s="14">
        <f t="shared" si="2"/>
        <v>0</v>
      </c>
      <c r="Q33" s="35"/>
      <c r="R33" s="9"/>
      <c r="S33" s="55"/>
      <c r="T33" s="54"/>
    </row>
    <row r="34" spans="1:20" x14ac:dyDescent="0.2">
      <c r="A34" s="6" t="s">
        <v>13</v>
      </c>
      <c r="B34" s="12" t="s">
        <v>74</v>
      </c>
      <c r="C34" s="51" t="s">
        <v>140</v>
      </c>
      <c r="D34" s="45">
        <v>7500</v>
      </c>
      <c r="E34" s="64">
        <v>579</v>
      </c>
      <c r="F34" s="55"/>
      <c r="G34" s="93"/>
      <c r="H34" s="45" t="s">
        <v>152</v>
      </c>
      <c r="I34" s="45"/>
      <c r="J34" s="63" t="s">
        <v>140</v>
      </c>
      <c r="K34" s="45">
        <f t="shared" si="1"/>
        <v>43722000</v>
      </c>
      <c r="L34" s="77"/>
      <c r="M34" s="52">
        <f t="shared" si="3"/>
        <v>5246640</v>
      </c>
      <c r="N34" s="14">
        <f t="shared" si="4"/>
        <v>4109.8680000000004</v>
      </c>
      <c r="O34" s="14">
        <f t="shared" si="5"/>
        <v>100.56059999999998</v>
      </c>
      <c r="P34" s="14">
        <f t="shared" si="2"/>
        <v>6465473.8218</v>
      </c>
      <c r="Q34" s="35"/>
      <c r="R34" s="9"/>
      <c r="S34" s="55"/>
      <c r="T34" s="54"/>
    </row>
    <row r="35" spans="1:20" x14ac:dyDescent="0.2">
      <c r="A35" s="6" t="s">
        <v>13</v>
      </c>
      <c r="B35" s="6" t="s">
        <v>75</v>
      </c>
      <c r="C35" s="51" t="s">
        <v>140</v>
      </c>
      <c r="D35" s="45">
        <v>10833800</v>
      </c>
      <c r="E35" s="109">
        <v>12003000</v>
      </c>
      <c r="F35" s="55"/>
      <c r="G35" s="93"/>
      <c r="H35" s="45" t="s">
        <v>147</v>
      </c>
      <c r="I35" s="45"/>
      <c r="J35" s="63" t="s">
        <v>140</v>
      </c>
      <c r="K35" s="45">
        <f>SUM(D34:D82)</f>
        <v>105830943.96280992</v>
      </c>
      <c r="L35" s="77"/>
      <c r="M35" s="52">
        <f t="shared" si="3"/>
        <v>12699713.275537191</v>
      </c>
      <c r="N35" s="14">
        <f t="shared" si="4"/>
        <v>9948.1087325041335</v>
      </c>
      <c r="O35" s="14">
        <f t="shared" si="5"/>
        <v>243.4111711144628</v>
      </c>
      <c r="P35" s="14">
        <f t="shared" si="2"/>
        <v>15649951.917294048</v>
      </c>
      <c r="Q35" s="35"/>
      <c r="R35" s="9"/>
      <c r="S35" s="55"/>
      <c r="T35" s="54"/>
    </row>
    <row r="36" spans="1:20" x14ac:dyDescent="0.2">
      <c r="A36" s="6" t="s">
        <v>13</v>
      </c>
      <c r="B36" s="125" t="s">
        <v>184</v>
      </c>
      <c r="C36" s="112" t="s">
        <v>140</v>
      </c>
      <c r="D36" s="45">
        <v>94827</v>
      </c>
      <c r="E36" s="109">
        <v>116198.15000000001</v>
      </c>
      <c r="F36" s="55"/>
      <c r="G36" s="93"/>
      <c r="H36" s="55"/>
      <c r="I36" s="55"/>
      <c r="J36" s="107"/>
      <c r="K36" s="55"/>
      <c r="L36" s="55"/>
      <c r="M36" s="70"/>
      <c r="N36" s="70"/>
      <c r="O36" s="70"/>
      <c r="P36" s="70"/>
      <c r="Q36" s="35"/>
      <c r="R36" s="9"/>
      <c r="S36" s="55"/>
      <c r="T36" s="54"/>
    </row>
    <row r="37" spans="1:20" x14ac:dyDescent="0.2">
      <c r="A37" s="6" t="s">
        <v>13</v>
      </c>
      <c r="B37" s="6" t="s">
        <v>77</v>
      </c>
      <c r="C37" s="51" t="s">
        <v>140</v>
      </c>
      <c r="D37" s="45">
        <v>1062100</v>
      </c>
      <c r="E37" s="109">
        <v>2206400</v>
      </c>
      <c r="F37" s="55"/>
      <c r="G37" s="93"/>
      <c r="H37" s="55"/>
      <c r="I37" s="55"/>
      <c r="J37" s="105"/>
      <c r="K37" s="55"/>
      <c r="L37" s="55"/>
      <c r="M37" s="70"/>
      <c r="N37" s="71"/>
      <c r="O37" s="71"/>
      <c r="P37" s="70"/>
      <c r="Q37" s="35"/>
      <c r="R37" s="9"/>
      <c r="S37" s="55"/>
      <c r="T37" s="54"/>
    </row>
    <row r="38" spans="1:20" x14ac:dyDescent="0.2">
      <c r="A38" s="6" t="s">
        <v>13</v>
      </c>
      <c r="B38" s="12" t="s">
        <v>79</v>
      </c>
      <c r="C38" s="51" t="s">
        <v>140</v>
      </c>
      <c r="D38" s="45">
        <v>2679124.8524203068</v>
      </c>
      <c r="E38" s="109">
        <v>12747500</v>
      </c>
      <c r="F38" s="55"/>
      <c r="G38" s="93"/>
      <c r="H38" s="55"/>
      <c r="I38" s="55"/>
      <c r="J38" s="105"/>
      <c r="K38" s="104"/>
      <c r="L38" s="55"/>
      <c r="M38" s="70"/>
      <c r="N38" s="71"/>
      <c r="O38" s="75" t="s">
        <v>167</v>
      </c>
      <c r="P38" s="70">
        <f>P26+P27</f>
        <v>902426470.31000006</v>
      </c>
      <c r="Q38" s="35"/>
      <c r="R38" s="9"/>
      <c r="S38" s="55"/>
      <c r="T38" s="54"/>
    </row>
    <row r="39" spans="1:20" x14ac:dyDescent="0.2">
      <c r="A39" s="6" t="s">
        <v>13</v>
      </c>
      <c r="B39" s="6" t="s">
        <v>80</v>
      </c>
      <c r="C39" s="51" t="s">
        <v>140</v>
      </c>
      <c r="D39" s="45">
        <v>0</v>
      </c>
      <c r="E39" s="109">
        <v>2344800</v>
      </c>
      <c r="F39" s="55"/>
      <c r="G39" s="93"/>
      <c r="H39" s="55"/>
      <c r="I39" s="55"/>
      <c r="J39" s="105"/>
      <c r="K39" s="55"/>
      <c r="L39" s="55"/>
      <c r="M39" s="70"/>
      <c r="N39" s="71"/>
      <c r="O39" s="75" t="s">
        <v>168</v>
      </c>
      <c r="P39" s="70">
        <f>SUM(P32:P35)</f>
        <v>25106029.013934046</v>
      </c>
      <c r="Q39" s="35"/>
      <c r="R39" s="9"/>
      <c r="S39" s="55"/>
      <c r="T39" s="54"/>
    </row>
    <row r="40" spans="1:20" x14ac:dyDescent="0.2">
      <c r="A40" s="6" t="s">
        <v>13</v>
      </c>
      <c r="B40" s="6" t="s">
        <v>81</v>
      </c>
      <c r="C40" s="51" t="s">
        <v>140</v>
      </c>
      <c r="D40" s="45">
        <v>3366200</v>
      </c>
      <c r="E40" s="109">
        <v>4099300</v>
      </c>
      <c r="F40" s="55"/>
      <c r="G40" s="93"/>
      <c r="H40" s="55"/>
      <c r="I40" s="55"/>
      <c r="J40" s="105"/>
      <c r="K40" s="55"/>
      <c r="L40" s="55"/>
      <c r="M40" s="70"/>
      <c r="N40" s="71"/>
      <c r="O40" s="75" t="s">
        <v>169</v>
      </c>
      <c r="P40" s="90">
        <f>SUM(P28:P31)</f>
        <v>1527846.91227873</v>
      </c>
      <c r="Q40" s="35"/>
      <c r="R40" s="9"/>
      <c r="S40" s="55"/>
      <c r="T40" s="54"/>
    </row>
    <row r="41" spans="1:20" x14ac:dyDescent="0.2">
      <c r="A41" s="6" t="s">
        <v>13</v>
      </c>
      <c r="B41" s="6" t="s">
        <v>82</v>
      </c>
      <c r="C41" s="51" t="s">
        <v>140</v>
      </c>
      <c r="D41" s="45">
        <v>2153000</v>
      </c>
      <c r="E41" s="109">
        <v>1186494</v>
      </c>
      <c r="F41" s="55"/>
      <c r="G41" s="93"/>
      <c r="H41" s="55"/>
      <c r="I41" s="55"/>
      <c r="J41" s="105"/>
      <c r="K41" s="55"/>
      <c r="L41" s="55"/>
      <c r="M41" s="70"/>
      <c r="N41" s="71"/>
      <c r="O41" s="75"/>
      <c r="P41" s="70">
        <f>SUM(P38:P40)</f>
        <v>929060346.23621285</v>
      </c>
      <c r="Q41" s="95" t="s">
        <v>52</v>
      </c>
      <c r="R41" s="9"/>
      <c r="S41" s="55"/>
      <c r="T41" s="54"/>
    </row>
    <row r="42" spans="1:20" x14ac:dyDescent="0.2">
      <c r="A42" s="6" t="s">
        <v>13</v>
      </c>
      <c r="B42" s="12" t="s">
        <v>87</v>
      </c>
      <c r="C42" s="51" t="s">
        <v>140</v>
      </c>
      <c r="D42" s="45">
        <v>416300.28040141676</v>
      </c>
      <c r="E42" s="109">
        <v>518400</v>
      </c>
      <c r="F42" s="55"/>
      <c r="G42" s="93"/>
      <c r="H42" s="55"/>
      <c r="I42" s="55"/>
      <c r="J42" s="105"/>
      <c r="K42" s="55"/>
      <c r="L42" s="55"/>
      <c r="M42" s="70"/>
      <c r="N42" s="71"/>
      <c r="O42" s="75"/>
      <c r="P42" s="70"/>
      <c r="Q42" s="35"/>
      <c r="R42" s="9"/>
      <c r="S42" s="55"/>
      <c r="T42" s="54"/>
    </row>
    <row r="43" spans="1:20" x14ac:dyDescent="0.2">
      <c r="A43" s="6" t="s">
        <v>13</v>
      </c>
      <c r="B43" s="6" t="s">
        <v>83</v>
      </c>
      <c r="C43" s="51" t="s">
        <v>140</v>
      </c>
      <c r="D43" s="45">
        <v>0</v>
      </c>
      <c r="E43" s="109">
        <v>8934800</v>
      </c>
      <c r="F43" s="55"/>
      <c r="G43" s="93"/>
      <c r="H43" s="55"/>
      <c r="I43" s="55"/>
      <c r="J43" s="105"/>
      <c r="K43" s="55"/>
      <c r="L43" s="55"/>
      <c r="M43" s="70"/>
      <c r="N43" s="71"/>
      <c r="O43" s="75"/>
      <c r="P43" s="71">
        <f>P41/2000</f>
        <v>464530.17311810644</v>
      </c>
      <c r="Q43" s="35" t="s">
        <v>43</v>
      </c>
      <c r="R43" s="9"/>
      <c r="S43" s="55"/>
      <c r="T43" s="54"/>
    </row>
    <row r="44" spans="1:20" x14ac:dyDescent="0.2">
      <c r="A44" s="111" t="s">
        <v>183</v>
      </c>
      <c r="B44" s="126" t="s">
        <v>180</v>
      </c>
      <c r="C44" s="51" t="s">
        <v>140</v>
      </c>
      <c r="D44" s="45">
        <v>0</v>
      </c>
      <c r="E44" s="109">
        <v>1947982.4</v>
      </c>
      <c r="F44" s="55"/>
      <c r="G44" s="93"/>
      <c r="H44" s="55"/>
      <c r="I44" s="55"/>
      <c r="J44" s="107"/>
      <c r="K44" s="55"/>
      <c r="L44" s="104"/>
      <c r="M44" s="70"/>
      <c r="N44" s="71"/>
      <c r="O44" s="75"/>
      <c r="P44" s="71"/>
      <c r="Q44" s="35"/>
      <c r="R44" s="9"/>
      <c r="S44" s="55"/>
      <c r="T44" s="54"/>
    </row>
    <row r="45" spans="1:20" x14ac:dyDescent="0.2">
      <c r="A45" s="6" t="s">
        <v>13</v>
      </c>
      <c r="B45" s="12" t="s">
        <v>84</v>
      </c>
      <c r="C45" s="51" t="s">
        <v>140</v>
      </c>
      <c r="D45" s="45">
        <v>3839364.5218417947</v>
      </c>
      <c r="E45" s="109">
        <v>3374300</v>
      </c>
      <c r="F45" s="55"/>
      <c r="G45" s="93"/>
      <c r="H45" s="55"/>
      <c r="I45" s="55"/>
      <c r="J45" s="55"/>
      <c r="K45" s="55"/>
      <c r="L45" s="55"/>
      <c r="M45" s="70"/>
      <c r="N45" s="71"/>
      <c r="O45" s="71"/>
      <c r="P45" s="70"/>
      <c r="Q45" s="35"/>
      <c r="R45" s="9"/>
      <c r="S45" s="55"/>
      <c r="T45" s="54"/>
    </row>
    <row r="46" spans="1:20" x14ac:dyDescent="0.2">
      <c r="A46" s="6" t="s">
        <v>13</v>
      </c>
      <c r="B46" s="12" t="s">
        <v>85</v>
      </c>
      <c r="C46" s="51" t="s">
        <v>140</v>
      </c>
      <c r="D46" s="45">
        <v>798736.42266824085</v>
      </c>
      <c r="E46" s="109">
        <v>2913160</v>
      </c>
      <c r="F46" s="56"/>
      <c r="G46" s="93"/>
      <c r="H46" s="64" t="s">
        <v>66</v>
      </c>
      <c r="I46" s="64"/>
      <c r="J46" s="65" t="s">
        <v>138</v>
      </c>
      <c r="K46" s="64" t="s">
        <v>20</v>
      </c>
      <c r="L46" s="78"/>
      <c r="M46" s="68" t="s">
        <v>155</v>
      </c>
      <c r="N46" s="67" t="s">
        <v>156</v>
      </c>
      <c r="O46" s="67" t="s">
        <v>158</v>
      </c>
      <c r="P46" s="67" t="s">
        <v>157</v>
      </c>
      <c r="Q46" s="35"/>
      <c r="R46" s="9"/>
      <c r="S46" s="55"/>
      <c r="T46" s="54"/>
    </row>
    <row r="47" spans="1:20" x14ac:dyDescent="0.2">
      <c r="A47" s="6" t="s">
        <v>13</v>
      </c>
      <c r="B47" s="6" t="s">
        <v>86</v>
      </c>
      <c r="C47" s="51" t="s">
        <v>140</v>
      </c>
      <c r="D47" s="45">
        <v>409700</v>
      </c>
      <c r="E47" s="109">
        <v>389500</v>
      </c>
      <c r="F47" s="55"/>
      <c r="G47" s="93"/>
      <c r="H47" s="45" t="s">
        <v>150</v>
      </c>
      <c r="I47" s="45"/>
      <c r="J47" s="63" t="s">
        <v>148</v>
      </c>
      <c r="K47" s="45">
        <f>D87/1000</f>
        <v>28575</v>
      </c>
      <c r="L47" s="77"/>
      <c r="M47" s="52">
        <f>K47*$D$12</f>
        <v>56635650</v>
      </c>
      <c r="N47" s="14">
        <f>K47*$E$12</f>
        <v>1028.6999999999998</v>
      </c>
      <c r="O47" s="14">
        <f>K47*$F$12</f>
        <v>382.90500000000003</v>
      </c>
      <c r="P47" s="14">
        <f t="shared" ref="P47:P51" si="6">M47+N47*296+O47*23</f>
        <v>56948952.015000001</v>
      </c>
      <c r="Q47" s="35"/>
      <c r="R47" s="9"/>
      <c r="S47" s="55"/>
      <c r="T47" s="54"/>
    </row>
    <row r="48" spans="1:20" x14ac:dyDescent="0.2">
      <c r="A48" s="6" t="s">
        <v>13</v>
      </c>
      <c r="B48" s="6" t="s">
        <v>88</v>
      </c>
      <c r="C48" s="51" t="s">
        <v>140</v>
      </c>
      <c r="D48" s="45">
        <v>168890</v>
      </c>
      <c r="E48" s="109">
        <v>127800</v>
      </c>
      <c r="F48" s="55"/>
      <c r="G48" s="93"/>
      <c r="H48" s="45" t="s">
        <v>149</v>
      </c>
      <c r="I48" s="45"/>
      <c r="J48" s="63" t="s">
        <v>148</v>
      </c>
      <c r="K48" s="76">
        <f>D88/1000</f>
        <v>20709.172999999999</v>
      </c>
      <c r="L48" s="77"/>
      <c r="M48" s="52">
        <f>K48*$D$12</f>
        <v>41045580.886</v>
      </c>
      <c r="N48" s="14">
        <f>K48*$E$12</f>
        <v>745.53022799999985</v>
      </c>
      <c r="O48" s="14">
        <f>K48*$F$12</f>
        <v>277.50291820000001</v>
      </c>
      <c r="P48" s="14">
        <f t="shared" si="6"/>
        <v>41272640.400606602</v>
      </c>
      <c r="Q48" s="35"/>
      <c r="R48" s="9"/>
      <c r="S48" s="55"/>
      <c r="T48" s="54"/>
    </row>
    <row r="49" spans="1:20" x14ac:dyDescent="0.2">
      <c r="A49" s="6" t="s">
        <v>13</v>
      </c>
      <c r="B49" s="6" t="s">
        <v>89</v>
      </c>
      <c r="C49" s="51" t="s">
        <v>140</v>
      </c>
      <c r="D49" s="45">
        <v>10357400</v>
      </c>
      <c r="E49" s="109">
        <v>7855300</v>
      </c>
      <c r="F49" s="55"/>
      <c r="G49" s="93"/>
      <c r="H49" s="45" t="s">
        <v>151</v>
      </c>
      <c r="I49" s="45"/>
      <c r="J49" s="63" t="s">
        <v>148</v>
      </c>
      <c r="K49" s="76">
        <f>SUM(D89:D129)/1000</f>
        <v>27515.812461097459</v>
      </c>
      <c r="L49" s="79"/>
      <c r="M49" s="52">
        <f>K49*$D$12</f>
        <v>54536340.297895163</v>
      </c>
      <c r="N49" s="14">
        <f>K49*$E$12</f>
        <v>990.56924859950846</v>
      </c>
      <c r="O49" s="14">
        <f>K49*$F$12</f>
        <v>368.71188697870599</v>
      </c>
      <c r="P49" s="14">
        <f t="shared" si="6"/>
        <v>54838029.168881126</v>
      </c>
      <c r="Q49" s="35"/>
      <c r="R49" s="9"/>
      <c r="S49" s="55"/>
      <c r="T49" s="54"/>
    </row>
    <row r="50" spans="1:20" x14ac:dyDescent="0.2">
      <c r="A50" s="6" t="s">
        <v>13</v>
      </c>
      <c r="B50" s="12" t="s">
        <v>90</v>
      </c>
      <c r="C50" s="51" t="s">
        <v>140</v>
      </c>
      <c r="D50" s="45">
        <v>44723.524203069661</v>
      </c>
      <c r="E50" s="64">
        <v>70490</v>
      </c>
      <c r="F50" s="55"/>
      <c r="G50" s="93"/>
      <c r="H50" s="45" t="s">
        <v>153</v>
      </c>
      <c r="I50" s="45"/>
      <c r="J50" s="63" t="s">
        <v>143</v>
      </c>
      <c r="K50" s="45">
        <f>D142</f>
        <v>340.7</v>
      </c>
      <c r="L50" s="77"/>
      <c r="M50" s="52">
        <f>K50*D13</f>
        <v>1012901.1</v>
      </c>
      <c r="N50" s="18">
        <f>K50*E13</f>
        <v>18.397799999999997</v>
      </c>
      <c r="O50" s="18">
        <f>K50*F13</f>
        <v>6.8480699999999999</v>
      </c>
      <c r="P50" s="14">
        <f t="shared" si="6"/>
        <v>1018504.3544099999</v>
      </c>
      <c r="Q50" s="35"/>
      <c r="R50" s="9"/>
      <c r="S50" s="55"/>
      <c r="T50" s="54"/>
    </row>
    <row r="51" spans="1:20" x14ac:dyDescent="0.2">
      <c r="A51" s="6" t="s">
        <v>13</v>
      </c>
      <c r="B51" s="6" t="s">
        <v>91</v>
      </c>
      <c r="C51" s="51" t="s">
        <v>140</v>
      </c>
      <c r="D51" s="45">
        <v>137900</v>
      </c>
      <c r="E51" s="109">
        <v>147300</v>
      </c>
      <c r="F51" s="55"/>
      <c r="G51" s="93"/>
      <c r="H51" s="45" t="s">
        <v>154</v>
      </c>
      <c r="I51" s="45"/>
      <c r="J51" s="63" t="s">
        <v>143</v>
      </c>
      <c r="K51" s="45">
        <f>D143</f>
        <v>315.60000000000002</v>
      </c>
      <c r="L51" s="45"/>
      <c r="M51" s="18">
        <f>K51*D14</f>
        <v>1125934.56</v>
      </c>
      <c r="N51" s="18">
        <f>K51*E14</f>
        <v>20.450880000000002</v>
      </c>
      <c r="O51" s="18">
        <f>K51*F14</f>
        <v>7.6122720000000017</v>
      </c>
      <c r="P51" s="14">
        <f t="shared" si="6"/>
        <v>1132163.102736</v>
      </c>
      <c r="Q51" s="35"/>
      <c r="R51" s="9"/>
      <c r="S51" s="55"/>
      <c r="T51" s="54"/>
    </row>
    <row r="52" spans="1:20" x14ac:dyDescent="0.2">
      <c r="A52" s="6" t="s">
        <v>13</v>
      </c>
      <c r="B52" s="6" t="s">
        <v>92</v>
      </c>
      <c r="C52" s="51" t="s">
        <v>140</v>
      </c>
      <c r="D52" s="45">
        <v>1612000</v>
      </c>
      <c r="E52" s="109">
        <v>1518200</v>
      </c>
      <c r="F52" s="55"/>
      <c r="G52" s="93"/>
      <c r="H52" s="55"/>
      <c r="I52" s="55"/>
      <c r="J52" s="55"/>
      <c r="K52" s="55"/>
      <c r="L52" s="55"/>
      <c r="M52" s="70"/>
      <c r="N52" s="71"/>
      <c r="O52" s="71"/>
      <c r="P52" s="70"/>
      <c r="Q52" s="35"/>
      <c r="R52" s="9"/>
      <c r="S52" s="55"/>
      <c r="T52" s="54"/>
    </row>
    <row r="53" spans="1:20" x14ac:dyDescent="0.2">
      <c r="A53" s="6" t="s">
        <v>13</v>
      </c>
      <c r="B53" s="6" t="s">
        <v>93</v>
      </c>
      <c r="C53" s="51" t="s">
        <v>140</v>
      </c>
      <c r="D53" s="45">
        <v>15000</v>
      </c>
      <c r="E53" s="64">
        <v>6364</v>
      </c>
      <c r="F53" s="55"/>
      <c r="G53" s="93"/>
      <c r="H53" s="55"/>
      <c r="I53" s="55"/>
      <c r="J53" s="55"/>
      <c r="K53" s="55"/>
      <c r="L53" s="55"/>
      <c r="M53" s="70"/>
      <c r="N53" s="71"/>
      <c r="O53" s="75" t="s">
        <v>68</v>
      </c>
      <c r="P53" s="70">
        <f>SUM(P47:P51)</f>
        <v>155210289.04163373</v>
      </c>
      <c r="Q53" s="35" t="s">
        <v>52</v>
      </c>
      <c r="R53" s="9"/>
      <c r="S53" s="55"/>
      <c r="T53" s="54"/>
    </row>
    <row r="54" spans="1:20" x14ac:dyDescent="0.2">
      <c r="A54" s="6" t="s">
        <v>13</v>
      </c>
      <c r="B54" s="6" t="s">
        <v>94</v>
      </c>
      <c r="C54" s="51" t="s">
        <v>140</v>
      </c>
      <c r="D54" s="45">
        <v>0</v>
      </c>
      <c r="E54" s="109">
        <v>600</v>
      </c>
      <c r="F54" s="55"/>
      <c r="G54" s="93"/>
      <c r="H54" s="55"/>
      <c r="I54" s="55"/>
      <c r="J54" s="55"/>
      <c r="K54" s="55"/>
      <c r="L54" s="55"/>
      <c r="M54" s="70"/>
      <c r="N54" s="71"/>
      <c r="O54" s="75"/>
      <c r="P54" s="70"/>
      <c r="Q54" s="35"/>
      <c r="R54" s="9"/>
      <c r="S54" s="55"/>
      <c r="T54" s="54"/>
    </row>
    <row r="55" spans="1:20" x14ac:dyDescent="0.2">
      <c r="A55" s="6" t="s">
        <v>13</v>
      </c>
      <c r="B55" s="6" t="s">
        <v>95</v>
      </c>
      <c r="C55" s="51" t="s">
        <v>140</v>
      </c>
      <c r="D55" s="45">
        <v>0</v>
      </c>
      <c r="E55" s="109">
        <v>2524100</v>
      </c>
      <c r="F55" s="55"/>
      <c r="G55" s="93"/>
      <c r="H55" s="55"/>
      <c r="I55" s="55"/>
      <c r="J55" s="55"/>
      <c r="K55" s="55"/>
      <c r="L55" s="55"/>
      <c r="M55" s="70"/>
      <c r="N55" s="71"/>
      <c r="O55" s="71"/>
      <c r="P55" s="70">
        <f>P53/2000</f>
        <v>77605.144520816859</v>
      </c>
      <c r="Q55" s="35" t="s">
        <v>43</v>
      </c>
      <c r="R55" s="9"/>
      <c r="S55" s="55"/>
      <c r="T55" s="54"/>
    </row>
    <row r="56" spans="1:20" x14ac:dyDescent="0.2">
      <c r="A56" s="6" t="s">
        <v>13</v>
      </c>
      <c r="B56" s="12" t="s">
        <v>96</v>
      </c>
      <c r="C56" s="51" t="s">
        <v>140</v>
      </c>
      <c r="D56" s="45">
        <v>91518.904958677682</v>
      </c>
      <c r="E56" s="109">
        <v>106100</v>
      </c>
      <c r="F56" s="55"/>
      <c r="G56" s="93"/>
      <c r="H56" s="55"/>
      <c r="I56" s="55"/>
      <c r="J56" s="55"/>
      <c r="K56" s="55"/>
      <c r="L56" s="55"/>
      <c r="M56" s="70"/>
      <c r="N56" s="71"/>
      <c r="O56" s="71"/>
      <c r="P56" s="70"/>
      <c r="Q56" s="35"/>
      <c r="R56" s="9"/>
      <c r="S56" s="55"/>
      <c r="T56" s="54"/>
    </row>
    <row r="57" spans="1:20" x14ac:dyDescent="0.2">
      <c r="A57" s="6" t="s">
        <v>13</v>
      </c>
      <c r="B57" s="12" t="s">
        <v>97</v>
      </c>
      <c r="C57" s="51" t="s">
        <v>140</v>
      </c>
      <c r="D57" s="45">
        <v>25567852.951593861</v>
      </c>
      <c r="E57" s="109">
        <v>33359284.454300005</v>
      </c>
      <c r="F57" s="55"/>
      <c r="G57" s="93"/>
      <c r="H57" s="55"/>
      <c r="I57" s="55"/>
      <c r="J57" s="55"/>
      <c r="K57" s="55"/>
      <c r="L57" s="55"/>
      <c r="M57" s="70"/>
      <c r="N57" s="71"/>
      <c r="O57" s="75" t="s">
        <v>159</v>
      </c>
      <c r="P57" s="71">
        <f>P43+P55</f>
        <v>542135.3176389233</v>
      </c>
      <c r="Q57" s="35" t="s">
        <v>43</v>
      </c>
      <c r="R57" s="9"/>
      <c r="S57" s="129"/>
      <c r="T57" s="54"/>
    </row>
    <row r="58" spans="1:20" ht="13.5" thickBot="1" x14ac:dyDescent="0.25">
      <c r="A58" s="6" t="s">
        <v>13</v>
      </c>
      <c r="B58" s="6" t="s">
        <v>98</v>
      </c>
      <c r="C58" s="51" t="s">
        <v>140</v>
      </c>
      <c r="D58" s="45">
        <v>402600</v>
      </c>
      <c r="E58" s="109">
        <v>722600</v>
      </c>
      <c r="F58" s="55"/>
      <c r="G58" s="97"/>
      <c r="H58" s="98"/>
      <c r="I58" s="98"/>
      <c r="J58" s="98"/>
      <c r="K58" s="98"/>
      <c r="L58" s="98"/>
      <c r="M58" s="99"/>
      <c r="N58" s="100"/>
      <c r="O58" s="103"/>
      <c r="P58" s="99"/>
      <c r="Q58" s="40"/>
      <c r="R58" s="9"/>
      <c r="S58" s="55"/>
      <c r="T58" s="54"/>
    </row>
    <row r="59" spans="1:20" x14ac:dyDescent="0.2">
      <c r="A59" s="6" t="s">
        <v>13</v>
      </c>
      <c r="B59" s="6" t="s">
        <v>99</v>
      </c>
      <c r="C59" s="51" t="s">
        <v>140</v>
      </c>
      <c r="D59" s="45">
        <v>297000</v>
      </c>
      <c r="E59" s="109">
        <v>438300</v>
      </c>
      <c r="F59" s="55"/>
      <c r="G59" s="55"/>
      <c r="R59" s="9"/>
      <c r="S59" s="55"/>
      <c r="T59" s="54"/>
    </row>
    <row r="60" spans="1:20" ht="13.5" thickBot="1" x14ac:dyDescent="0.25">
      <c r="A60" s="6" t="s">
        <v>13</v>
      </c>
      <c r="B60" s="6" t="s">
        <v>100</v>
      </c>
      <c r="C60" s="51" t="s">
        <v>140</v>
      </c>
      <c r="D60" s="45">
        <v>172800</v>
      </c>
      <c r="E60" s="109">
        <v>229889</v>
      </c>
      <c r="F60" s="55"/>
      <c r="G60" s="55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9"/>
      <c r="S60" s="55"/>
      <c r="T60" s="54"/>
    </row>
    <row r="61" spans="1:20" x14ac:dyDescent="0.2">
      <c r="A61" s="6" t="s">
        <v>13</v>
      </c>
      <c r="B61" s="126" t="s">
        <v>185</v>
      </c>
      <c r="C61" s="51" t="s">
        <v>140</v>
      </c>
      <c r="D61" s="45">
        <v>0</v>
      </c>
      <c r="E61" s="109">
        <v>187653</v>
      </c>
      <c r="F61" s="55"/>
      <c r="G61" s="91"/>
      <c r="H61" s="92"/>
      <c r="I61" s="92"/>
      <c r="J61" s="92"/>
      <c r="K61" s="92"/>
      <c r="L61" s="92"/>
      <c r="M61" s="92"/>
      <c r="N61" s="92"/>
      <c r="O61" s="92"/>
      <c r="P61" s="92"/>
      <c r="Q61" s="31"/>
      <c r="R61" s="9"/>
      <c r="S61" s="55"/>
      <c r="T61" s="54"/>
    </row>
    <row r="62" spans="1:20" ht="15.75" x14ac:dyDescent="0.25">
      <c r="A62" s="6" t="s">
        <v>13</v>
      </c>
      <c r="B62" s="12" t="s">
        <v>101</v>
      </c>
      <c r="C62" s="51" t="s">
        <v>140</v>
      </c>
      <c r="D62" s="45">
        <v>367290.15643447463</v>
      </c>
      <c r="E62" s="64">
        <v>1318584</v>
      </c>
      <c r="F62" s="55"/>
      <c r="G62" s="93"/>
      <c r="H62" s="69" t="s">
        <v>187</v>
      </c>
      <c r="I62" s="54"/>
      <c r="J62" s="54"/>
      <c r="K62" s="54"/>
      <c r="L62" s="54"/>
      <c r="M62" s="94"/>
      <c r="N62" s="33"/>
      <c r="O62" s="33"/>
      <c r="P62" s="33"/>
      <c r="Q62" s="35"/>
      <c r="R62" s="9"/>
      <c r="S62" s="55"/>
      <c r="T62" s="54"/>
    </row>
    <row r="63" spans="1:20" x14ac:dyDescent="0.2">
      <c r="A63" s="6" t="s">
        <v>13</v>
      </c>
      <c r="B63" s="6" t="s">
        <v>102</v>
      </c>
      <c r="C63" s="51" t="s">
        <v>140</v>
      </c>
      <c r="D63" s="45">
        <v>4847200</v>
      </c>
      <c r="E63" s="109">
        <v>4452900</v>
      </c>
      <c r="F63" s="55"/>
      <c r="G63" s="93"/>
      <c r="H63" s="28" t="s">
        <v>65</v>
      </c>
      <c r="I63" s="6"/>
      <c r="J63" s="66" t="s">
        <v>138</v>
      </c>
      <c r="K63" s="67" t="s">
        <v>20</v>
      </c>
      <c r="L63" s="68"/>
      <c r="M63" s="68" t="s">
        <v>155</v>
      </c>
      <c r="N63" s="67" t="s">
        <v>156</v>
      </c>
      <c r="O63" s="67" t="s">
        <v>158</v>
      </c>
      <c r="P63" s="67" t="s">
        <v>157</v>
      </c>
      <c r="Q63" s="35"/>
      <c r="R63" s="9"/>
      <c r="S63" s="55"/>
      <c r="T63" s="54"/>
    </row>
    <row r="64" spans="1:20" x14ac:dyDescent="0.2">
      <c r="A64" s="6" t="s">
        <v>13</v>
      </c>
      <c r="B64" s="12" t="s">
        <v>103</v>
      </c>
      <c r="C64" s="51" t="s">
        <v>140</v>
      </c>
      <c r="D64" s="45">
        <v>0</v>
      </c>
      <c r="E64" s="109">
        <v>72600</v>
      </c>
      <c r="F64" s="55"/>
      <c r="G64" s="93"/>
      <c r="H64" s="81"/>
      <c r="I64" s="82"/>
      <c r="J64" s="66"/>
      <c r="K64" s="67"/>
      <c r="L64" s="68"/>
      <c r="M64" s="68"/>
      <c r="N64" s="67"/>
      <c r="O64" s="67"/>
      <c r="P64" s="67"/>
      <c r="Q64" s="35"/>
      <c r="R64" s="9"/>
      <c r="S64" s="54"/>
    </row>
    <row r="65" spans="1:20" x14ac:dyDescent="0.2">
      <c r="A65" s="6" t="s">
        <v>13</v>
      </c>
      <c r="B65" s="12" t="s">
        <v>104</v>
      </c>
      <c r="C65" s="51" t="s">
        <v>140</v>
      </c>
      <c r="D65" s="45">
        <v>5672214.5602125144</v>
      </c>
      <c r="E65" s="109">
        <v>5130973</v>
      </c>
      <c r="F65" s="55"/>
      <c r="G65" s="93"/>
      <c r="H65" s="140" t="s">
        <v>0</v>
      </c>
      <c r="I65" s="141"/>
      <c r="J65" s="63" t="s">
        <v>43</v>
      </c>
      <c r="K65" s="45">
        <f t="shared" ref="K65:K72" si="7">E26</f>
        <v>49115</v>
      </c>
      <c r="L65" s="77"/>
      <c r="M65" s="52">
        <f>K65*$D$6</f>
        <v>296654600</v>
      </c>
      <c r="N65" s="14">
        <f>K65*$E$6</f>
        <v>171902.5</v>
      </c>
      <c r="O65" s="14">
        <f>K65*$F$6</f>
        <v>2946.9</v>
      </c>
      <c r="P65" s="14">
        <f>M65+N65*296+O65*23</f>
        <v>347605518.69999999</v>
      </c>
      <c r="Q65" s="35"/>
      <c r="R65" s="9"/>
      <c r="S65" s="55"/>
      <c r="T65" s="54"/>
    </row>
    <row r="66" spans="1:20" x14ac:dyDescent="0.2">
      <c r="A66" s="6" t="s">
        <v>13</v>
      </c>
      <c r="B66" s="12" t="s">
        <v>105</v>
      </c>
      <c r="C66" s="51" t="s">
        <v>140</v>
      </c>
      <c r="D66" s="45">
        <v>1597200</v>
      </c>
      <c r="E66" s="109">
        <v>9643</v>
      </c>
      <c r="F66" s="55"/>
      <c r="G66" s="93"/>
      <c r="H66" s="140" t="s">
        <v>28</v>
      </c>
      <c r="I66" s="141"/>
      <c r="J66" s="63" t="s">
        <v>139</v>
      </c>
      <c r="K66" s="45">
        <f t="shared" si="7"/>
        <v>45778.48</v>
      </c>
      <c r="L66" s="77"/>
      <c r="M66" s="52">
        <f>K66*$D$7</f>
        <v>231328.02811185352</v>
      </c>
      <c r="N66" s="14">
        <f>K66*7*20300*$E$7/1000000</f>
        <v>0.83708573228408822</v>
      </c>
      <c r="O66" s="14">
        <f>K66*7*20300*$F$7/1000000</f>
        <v>0.83708573228408822</v>
      </c>
      <c r="P66" s="14">
        <f t="shared" ref="P66:P73" si="8">M66+N66*296+O66*23</f>
        <v>231595.05846045216</v>
      </c>
      <c r="Q66" s="35"/>
      <c r="R66" s="9"/>
      <c r="S66" s="55"/>
      <c r="T66" s="54"/>
    </row>
    <row r="67" spans="1:20" x14ac:dyDescent="0.2">
      <c r="A67" s="6" t="s">
        <v>13</v>
      </c>
      <c r="B67" s="6" t="s">
        <v>106</v>
      </c>
      <c r="C67" s="51" t="s">
        <v>140</v>
      </c>
      <c r="D67" s="45">
        <v>166800</v>
      </c>
      <c r="E67" s="109">
        <v>132400</v>
      </c>
      <c r="F67" s="55"/>
      <c r="G67" s="93"/>
      <c r="H67" s="140" t="s">
        <v>34</v>
      </c>
      <c r="I67" s="141"/>
      <c r="J67" s="63" t="s">
        <v>139</v>
      </c>
      <c r="K67" s="45">
        <f t="shared" si="7"/>
        <v>137615.23000000001</v>
      </c>
      <c r="L67" s="77"/>
      <c r="M67" s="52">
        <f>K67*$D$8</f>
        <v>582881.03852511756</v>
      </c>
      <c r="N67" s="14">
        <f>K67*7*20300*$E$8/1000000</f>
        <v>2.129238960781985</v>
      </c>
      <c r="O67" s="14">
        <f>K67*7*20300*$F$8/1000000</f>
        <v>2.129238960781985</v>
      </c>
      <c r="P67" s="14">
        <f t="shared" si="8"/>
        <v>583560.26575360703</v>
      </c>
      <c r="Q67" s="35"/>
      <c r="R67" s="9"/>
      <c r="S67" s="55"/>
      <c r="T67" s="54"/>
    </row>
    <row r="68" spans="1:20" x14ac:dyDescent="0.2">
      <c r="A68" s="6" t="s">
        <v>13</v>
      </c>
      <c r="B68" s="12" t="s">
        <v>107</v>
      </c>
      <c r="C68" s="51" t="s">
        <v>140</v>
      </c>
      <c r="D68" s="45">
        <v>5691647.1458087368</v>
      </c>
      <c r="E68" s="109">
        <v>5058475</v>
      </c>
      <c r="F68" s="55"/>
      <c r="G68" s="93"/>
      <c r="H68" s="140" t="s">
        <v>35</v>
      </c>
      <c r="I68" s="141"/>
      <c r="J68" s="63" t="s">
        <v>139</v>
      </c>
      <c r="K68" s="45">
        <f t="shared" si="7"/>
        <v>68321.45</v>
      </c>
      <c r="L68" s="77"/>
      <c r="M68" s="52">
        <f>K68*$D$9</f>
        <v>209799.77061370944</v>
      </c>
      <c r="N68" s="14">
        <f>K68*7*20300*$E$9/1000000</f>
        <v>1.0570973372432566</v>
      </c>
      <c r="O68" s="14">
        <f>K68*7*20300*$F$9/1000000</f>
        <v>1.0570973372432566</v>
      </c>
      <c r="P68" s="14">
        <f t="shared" si="8"/>
        <v>210136.98466429004</v>
      </c>
      <c r="Q68" s="35"/>
      <c r="R68" s="9"/>
      <c r="S68" s="55"/>
      <c r="T68" s="54"/>
    </row>
    <row r="69" spans="1:20" x14ac:dyDescent="0.2">
      <c r="A69" s="6" t="s">
        <v>13</v>
      </c>
      <c r="B69" s="12" t="s">
        <v>108</v>
      </c>
      <c r="C69" s="51" t="s">
        <v>140</v>
      </c>
      <c r="D69" s="45">
        <v>3211934.914403778</v>
      </c>
      <c r="E69" s="109">
        <v>2912395</v>
      </c>
      <c r="F69" s="55"/>
      <c r="G69" s="93"/>
      <c r="H69" s="140" t="s">
        <v>144</v>
      </c>
      <c r="I69" s="141"/>
      <c r="J69" s="63" t="s">
        <v>139</v>
      </c>
      <c r="K69" s="45">
        <f t="shared" si="7"/>
        <v>7643</v>
      </c>
      <c r="L69" s="77"/>
      <c r="M69" s="53">
        <f>K69*D10</f>
        <v>31434.461766889384</v>
      </c>
      <c r="N69" s="14">
        <f>K69*E10</f>
        <v>0.41609997525365006</v>
      </c>
      <c r="O69" s="14">
        <f>K69*7*20300*$F$10/1000000</f>
        <v>3.7949301252165295</v>
      </c>
      <c r="P69" s="14">
        <f t="shared" si="8"/>
        <v>31644.910752444444</v>
      </c>
      <c r="Q69" s="35"/>
      <c r="R69" s="9"/>
      <c r="S69" s="55"/>
      <c r="T69" s="54"/>
    </row>
    <row r="70" spans="1:20" x14ac:dyDescent="0.2">
      <c r="A70" s="6" t="s">
        <v>13</v>
      </c>
      <c r="B70" s="6" t="s">
        <v>109</v>
      </c>
      <c r="C70" s="51" t="s">
        <v>140</v>
      </c>
      <c r="D70" s="45">
        <v>2783400</v>
      </c>
      <c r="E70" s="109">
        <v>3146222</v>
      </c>
      <c r="F70" s="55"/>
      <c r="G70" s="93"/>
      <c r="H70" s="45" t="s">
        <v>145</v>
      </c>
      <c r="I70" s="45"/>
      <c r="J70" s="63" t="s">
        <v>140</v>
      </c>
      <c r="K70" s="45">
        <f t="shared" si="7"/>
        <v>34845828</v>
      </c>
      <c r="L70" s="77"/>
      <c r="M70" s="52">
        <f>K70*$D$11/1000000</f>
        <v>4181499.36</v>
      </c>
      <c r="N70" s="14">
        <f>K70*$E$11/1000000</f>
        <v>3275.5078319999998</v>
      </c>
      <c r="O70" s="14">
        <f>K70*$F$11/1000000</f>
        <v>80.14540439999999</v>
      </c>
      <c r="P70" s="14">
        <f t="shared" si="8"/>
        <v>5152893.0225731991</v>
      </c>
      <c r="Q70" s="35"/>
      <c r="R70" s="9"/>
      <c r="S70" s="55"/>
      <c r="T70" s="54"/>
    </row>
    <row r="71" spans="1:20" x14ac:dyDescent="0.2">
      <c r="A71" s="6" t="s">
        <v>13</v>
      </c>
      <c r="B71" s="6" t="s">
        <v>110</v>
      </c>
      <c r="C71" s="51" t="s">
        <v>140</v>
      </c>
      <c r="D71" s="45">
        <v>104000</v>
      </c>
      <c r="E71" s="109">
        <v>92476</v>
      </c>
      <c r="F71" s="55"/>
      <c r="G71" s="93"/>
      <c r="H71" s="45" t="s">
        <v>146</v>
      </c>
      <c r="I71" s="45"/>
      <c r="J71" s="63" t="s">
        <v>140</v>
      </c>
      <c r="K71" s="45">
        <f t="shared" si="7"/>
        <v>1442247483.7869101</v>
      </c>
      <c r="L71" s="77"/>
      <c r="M71" s="52">
        <f>K71*$D$11/1000000</f>
        <v>173069698.05442923</v>
      </c>
      <c r="N71" s="14">
        <f>K71*$E$11/1000000</f>
        <v>135571.26347596955</v>
      </c>
      <c r="O71" s="14">
        <f>K71*$F$11/1000000</f>
        <v>3317.1692127098927</v>
      </c>
      <c r="P71" s="14">
        <f t="shared" si="8"/>
        <v>213275086.93520853</v>
      </c>
      <c r="Q71" s="35"/>
      <c r="R71" s="9"/>
      <c r="S71" s="55"/>
      <c r="T71" s="54"/>
    </row>
    <row r="72" spans="1:20" x14ac:dyDescent="0.2">
      <c r="A72" s="6" t="s">
        <v>13</v>
      </c>
      <c r="B72" s="6" t="s">
        <v>111</v>
      </c>
      <c r="C72" s="51" t="s">
        <v>140</v>
      </c>
      <c r="D72" s="45">
        <v>2563500</v>
      </c>
      <c r="E72" s="109">
        <v>1551366</v>
      </c>
      <c r="F72" s="55"/>
      <c r="G72" s="93"/>
      <c r="H72" s="45" t="s">
        <v>152</v>
      </c>
      <c r="I72" s="45"/>
      <c r="J72" s="63" t="s">
        <v>140</v>
      </c>
      <c r="K72" s="45">
        <f t="shared" si="7"/>
        <v>124058696.12273957</v>
      </c>
      <c r="L72" s="77"/>
      <c r="M72" s="52">
        <f>K72*$D$11/1000000</f>
        <v>14887043.534728749</v>
      </c>
      <c r="N72" s="18">
        <f>K72*$E$11/1000000</f>
        <v>11661.51743553752</v>
      </c>
      <c r="O72" s="14">
        <f>K72*$F$11/1000000</f>
        <v>285.33500108230095</v>
      </c>
      <c r="P72" s="14">
        <f t="shared" si="8"/>
        <v>18345415.400672749</v>
      </c>
      <c r="Q72" s="35"/>
      <c r="R72" s="9"/>
      <c r="S72" s="55"/>
      <c r="T72" s="54"/>
    </row>
    <row r="73" spans="1:20" x14ac:dyDescent="0.2">
      <c r="A73" s="6" t="s">
        <v>13</v>
      </c>
      <c r="B73" s="6" t="s">
        <v>112</v>
      </c>
      <c r="C73" s="51" t="s">
        <v>140</v>
      </c>
      <c r="D73" s="45">
        <v>164100</v>
      </c>
      <c r="E73" s="109">
        <v>286901</v>
      </c>
      <c r="F73" s="55"/>
      <c r="G73" s="93"/>
      <c r="H73" s="45" t="s">
        <v>147</v>
      </c>
      <c r="I73" s="45"/>
      <c r="J73" s="63" t="s">
        <v>140</v>
      </c>
      <c r="K73" s="45">
        <f>SUM(E34:E82)</f>
        <v>142339312.08429998</v>
      </c>
      <c r="L73" s="77"/>
      <c r="M73" s="52">
        <f>K73*$D$11/1000000</f>
        <v>17080717.450115997</v>
      </c>
      <c r="N73" s="14">
        <f>K73*$E$11/1000000</f>
        <v>13379.895335924199</v>
      </c>
      <c r="O73" s="14">
        <f>K73*$F$11/1000000</f>
        <v>327.38041779388993</v>
      </c>
      <c r="P73" s="14">
        <f t="shared" si="8"/>
        <v>21048696.219158817</v>
      </c>
      <c r="Q73" s="35"/>
      <c r="R73" s="9"/>
      <c r="S73" s="55"/>
      <c r="T73" s="54"/>
    </row>
    <row r="74" spans="1:20" x14ac:dyDescent="0.2">
      <c r="A74" s="6" t="s">
        <v>13</v>
      </c>
      <c r="B74" s="6" t="s">
        <v>113</v>
      </c>
      <c r="C74" s="51" t="s">
        <v>140</v>
      </c>
      <c r="D74" s="45">
        <v>590200</v>
      </c>
      <c r="E74" s="109">
        <v>420338</v>
      </c>
      <c r="F74" s="55"/>
      <c r="G74" s="93"/>
      <c r="H74" s="55"/>
      <c r="I74" s="55"/>
      <c r="J74" s="107"/>
      <c r="K74" s="55"/>
      <c r="L74" s="55"/>
      <c r="M74" s="70"/>
      <c r="N74" s="71"/>
      <c r="O74" s="71"/>
      <c r="P74" s="70"/>
      <c r="Q74" s="35"/>
      <c r="R74" s="9"/>
      <c r="S74" s="55"/>
      <c r="T74" s="54"/>
    </row>
    <row r="75" spans="1:20" x14ac:dyDescent="0.2">
      <c r="A75" s="6" t="s">
        <v>13</v>
      </c>
      <c r="B75" s="6" t="s">
        <v>114</v>
      </c>
      <c r="C75" s="51" t="s">
        <v>140</v>
      </c>
      <c r="D75" s="45">
        <v>4497700</v>
      </c>
      <c r="E75" s="109">
        <v>4982635</v>
      </c>
      <c r="F75" s="55"/>
      <c r="G75" s="93"/>
      <c r="H75" s="55"/>
      <c r="I75" s="55"/>
      <c r="J75" s="107"/>
      <c r="K75" s="104"/>
      <c r="L75" s="55"/>
      <c r="M75" s="70"/>
      <c r="N75" s="33"/>
      <c r="O75" s="75" t="s">
        <v>167</v>
      </c>
      <c r="P75" s="70">
        <f>P65</f>
        <v>347605518.69999999</v>
      </c>
      <c r="Q75" s="35" t="s">
        <v>52</v>
      </c>
      <c r="R75" s="9"/>
      <c r="S75" s="55"/>
      <c r="T75" s="54"/>
    </row>
    <row r="76" spans="1:20" x14ac:dyDescent="0.2">
      <c r="A76" s="6" t="s">
        <v>13</v>
      </c>
      <c r="B76" s="12" t="s">
        <v>115</v>
      </c>
      <c r="C76" s="51" t="s">
        <v>140</v>
      </c>
      <c r="D76" s="45">
        <v>242264.32998819364</v>
      </c>
      <c r="E76" s="64">
        <v>394302.27</v>
      </c>
      <c r="F76" s="55"/>
      <c r="G76" s="93"/>
      <c r="H76" s="55"/>
      <c r="I76" s="55"/>
      <c r="J76" s="107"/>
      <c r="K76" s="104">
        <f>SUM(K70:K73)</f>
        <v>1743491319.9939497</v>
      </c>
      <c r="L76" s="55"/>
      <c r="M76" s="70"/>
      <c r="N76" s="71"/>
      <c r="O76" s="75" t="s">
        <v>168</v>
      </c>
      <c r="P76" s="70">
        <f>SUM(P70:P73)</f>
        <v>257822091.57761329</v>
      </c>
      <c r="Q76" s="35" t="s">
        <v>52</v>
      </c>
      <c r="R76" s="9"/>
      <c r="S76" s="55"/>
      <c r="T76" s="54"/>
    </row>
    <row r="77" spans="1:20" x14ac:dyDescent="0.2">
      <c r="A77" s="6" t="s">
        <v>13</v>
      </c>
      <c r="B77" s="12" t="s">
        <v>116</v>
      </c>
      <c r="C77" s="51" t="s">
        <v>140</v>
      </c>
      <c r="D77" s="127">
        <v>348000.45749704842</v>
      </c>
      <c r="E77" s="118">
        <v>449557</v>
      </c>
      <c r="G77" s="93"/>
      <c r="H77" s="55"/>
      <c r="I77" s="55"/>
      <c r="J77" s="107"/>
      <c r="K77" s="55"/>
      <c r="L77" s="55"/>
      <c r="M77" s="70"/>
      <c r="N77" s="71"/>
      <c r="O77" s="75" t="s">
        <v>169</v>
      </c>
      <c r="P77" s="90">
        <f>SUM(P66:P69)</f>
        <v>1056937.2196307937</v>
      </c>
      <c r="Q77" s="35" t="s">
        <v>52</v>
      </c>
      <c r="R77" s="9"/>
      <c r="S77" s="55"/>
      <c r="T77" s="54"/>
    </row>
    <row r="78" spans="1:20" x14ac:dyDescent="0.2">
      <c r="A78" s="6" t="s">
        <v>13</v>
      </c>
      <c r="B78" s="12" t="s">
        <v>117</v>
      </c>
      <c r="C78" s="51" t="s">
        <v>140</v>
      </c>
      <c r="D78" s="45">
        <v>629058.51534828811</v>
      </c>
      <c r="E78" s="64">
        <v>878863.02</v>
      </c>
      <c r="F78" s="55"/>
      <c r="G78" s="93"/>
      <c r="H78" s="55"/>
      <c r="I78" s="55"/>
      <c r="J78" s="107"/>
      <c r="K78" s="55"/>
      <c r="L78" s="55"/>
      <c r="M78" s="70"/>
      <c r="N78" s="71"/>
      <c r="O78" s="75"/>
      <c r="P78" s="70">
        <f>SUM(P75:P77)</f>
        <v>606484547.49724412</v>
      </c>
      <c r="Q78" s="95" t="s">
        <v>52</v>
      </c>
      <c r="R78" s="9"/>
      <c r="S78" s="55"/>
      <c r="T78" s="54"/>
    </row>
    <row r="79" spans="1:20" x14ac:dyDescent="0.2">
      <c r="A79" s="6" t="s">
        <v>13</v>
      </c>
      <c r="B79" s="12" t="s">
        <v>118</v>
      </c>
      <c r="C79" s="51" t="s">
        <v>140</v>
      </c>
      <c r="D79" s="45">
        <v>561187.352420307</v>
      </c>
      <c r="E79" s="64">
        <v>694200</v>
      </c>
      <c r="F79" s="55"/>
      <c r="G79" s="93"/>
      <c r="H79" s="55"/>
      <c r="I79" s="55"/>
      <c r="J79" s="107"/>
      <c r="K79" s="55"/>
      <c r="L79" s="55"/>
      <c r="M79" s="70"/>
      <c r="N79" s="71"/>
      <c r="O79" s="75"/>
      <c r="P79" s="70"/>
      <c r="Q79" s="35"/>
      <c r="R79" s="9"/>
      <c r="S79" s="55"/>
      <c r="T79" s="54"/>
    </row>
    <row r="80" spans="1:20" x14ac:dyDescent="0.2">
      <c r="A80" s="6" t="s">
        <v>13</v>
      </c>
      <c r="B80" s="6" t="s">
        <v>119</v>
      </c>
      <c r="C80" s="51" t="s">
        <v>140</v>
      </c>
      <c r="D80" s="45">
        <v>7093108.0726092085</v>
      </c>
      <c r="E80" s="64">
        <v>9908471.790000001</v>
      </c>
      <c r="F80" s="110"/>
      <c r="G80" s="93"/>
      <c r="H80" s="55"/>
      <c r="I80" s="55"/>
      <c r="J80" s="107"/>
      <c r="K80" s="55"/>
      <c r="L80" s="55"/>
      <c r="M80" s="70"/>
      <c r="N80" s="71"/>
      <c r="O80" s="75"/>
      <c r="P80" s="36">
        <f>P78/2000</f>
        <v>303242.27374862204</v>
      </c>
      <c r="Q80" s="35" t="s">
        <v>43</v>
      </c>
      <c r="R80" s="9"/>
      <c r="S80" s="55"/>
      <c r="T80" s="54"/>
    </row>
    <row r="81" spans="1:20" x14ac:dyDescent="0.2">
      <c r="A81" s="6" t="s">
        <v>13</v>
      </c>
      <c r="B81" s="6" t="s">
        <v>120</v>
      </c>
      <c r="C81" s="51" t="s">
        <v>140</v>
      </c>
      <c r="D81" s="45">
        <v>171800</v>
      </c>
      <c r="E81" s="109">
        <v>174345</v>
      </c>
      <c r="F81" s="55"/>
      <c r="G81" s="93"/>
      <c r="H81" s="55"/>
      <c r="I81" s="55"/>
      <c r="J81" s="107"/>
      <c r="K81" s="55"/>
      <c r="L81" s="55"/>
      <c r="M81" s="70"/>
      <c r="N81" s="71"/>
      <c r="O81" s="75"/>
      <c r="P81" s="70"/>
      <c r="Q81" s="35"/>
      <c r="R81" s="9"/>
      <c r="S81" s="55"/>
      <c r="T81" s="54"/>
    </row>
    <row r="82" spans="1:20" x14ac:dyDescent="0.2">
      <c r="A82" s="6" t="s">
        <v>13</v>
      </c>
      <c r="B82" s="6" t="s">
        <v>121</v>
      </c>
      <c r="C82" s="51" t="s">
        <v>140</v>
      </c>
      <c r="D82" s="45">
        <v>0</v>
      </c>
      <c r="E82" s="117">
        <v>195271</v>
      </c>
      <c r="F82" s="55"/>
      <c r="G82" s="93"/>
      <c r="H82" s="55"/>
      <c r="I82" s="55"/>
      <c r="J82" s="55"/>
      <c r="K82" s="55"/>
      <c r="L82" s="55"/>
      <c r="M82" s="70"/>
      <c r="N82" s="71"/>
      <c r="O82" s="71"/>
      <c r="P82" s="70"/>
      <c r="Q82" s="35"/>
      <c r="R82" s="9"/>
      <c r="S82" s="55"/>
      <c r="T82" s="54"/>
    </row>
    <row r="83" spans="1:20" x14ac:dyDescent="0.2">
      <c r="A83" s="6"/>
      <c r="B83" s="6"/>
      <c r="C83" s="51"/>
      <c r="D83" s="45"/>
      <c r="E83" s="13"/>
      <c r="F83" s="55"/>
      <c r="G83" s="93"/>
      <c r="H83" s="64" t="s">
        <v>66</v>
      </c>
      <c r="I83" s="64"/>
      <c r="J83" s="65" t="s">
        <v>138</v>
      </c>
      <c r="K83" s="64" t="s">
        <v>20</v>
      </c>
      <c r="L83" s="78"/>
      <c r="M83" s="68" t="s">
        <v>155</v>
      </c>
      <c r="N83" s="67" t="s">
        <v>156</v>
      </c>
      <c r="O83" s="67" t="s">
        <v>158</v>
      </c>
      <c r="P83" s="67" t="s">
        <v>157</v>
      </c>
      <c r="Q83" s="35"/>
      <c r="R83" s="9"/>
      <c r="S83" s="55"/>
      <c r="T83" s="54"/>
    </row>
    <row r="84" spans="1:20" x14ac:dyDescent="0.2">
      <c r="A84" s="6"/>
      <c r="B84" s="6"/>
      <c r="D84" s="134" t="s">
        <v>193</v>
      </c>
      <c r="E84" s="109">
        <f>SUM(E25:E83)</f>
        <v>1743799793.1539497</v>
      </c>
      <c r="F84" s="55"/>
      <c r="G84" s="93"/>
      <c r="H84" s="123" t="s">
        <v>188</v>
      </c>
      <c r="I84" s="64"/>
      <c r="J84" s="63" t="s">
        <v>148</v>
      </c>
      <c r="K84" s="123">
        <f>+E140/1000</f>
        <v>-82000</v>
      </c>
      <c r="L84" s="78"/>
      <c r="M84" s="52">
        <f>K84*$D$12</f>
        <v>-162524000</v>
      </c>
      <c r="N84" s="14">
        <f>K84*$E$12</f>
        <v>-2952</v>
      </c>
      <c r="O84" s="14">
        <f>K84*$F$12</f>
        <v>-1098.8</v>
      </c>
      <c r="P84" s="14">
        <f t="shared" ref="P84" si="9">M84+N84*296+O84*23</f>
        <v>-163423064.40000001</v>
      </c>
      <c r="Q84" s="35"/>
      <c r="R84" s="9"/>
      <c r="S84" s="55"/>
      <c r="T84" s="54"/>
    </row>
    <row r="85" spans="1:20" x14ac:dyDescent="0.2">
      <c r="A85" s="6"/>
      <c r="B85" s="6"/>
      <c r="C85" s="51"/>
      <c r="D85" s="45"/>
      <c r="E85" s="5"/>
      <c r="F85" s="55"/>
      <c r="G85" s="93"/>
      <c r="H85" s="45" t="s">
        <v>150</v>
      </c>
      <c r="I85" s="45"/>
      <c r="J85" s="63" t="s">
        <v>148</v>
      </c>
      <c r="K85" s="45">
        <f>E87/1000</f>
        <v>43714.941874526507</v>
      </c>
      <c r="L85" s="77"/>
      <c r="M85" s="52">
        <f>K85*$D$12</f>
        <v>86643014.79531154</v>
      </c>
      <c r="N85" s="14">
        <f>K85*$E$12</f>
        <v>1573.7379074829541</v>
      </c>
      <c r="O85" s="14">
        <f>K85*$F$12</f>
        <v>585.78022111865516</v>
      </c>
      <c r="P85" s="14">
        <f t="shared" ref="P85:P89" si="10">M85+N85*296+O85*23</f>
        <v>87122314.161012232</v>
      </c>
      <c r="Q85" s="35"/>
      <c r="R85" s="9"/>
      <c r="S85" s="55"/>
      <c r="T85" s="54"/>
    </row>
    <row r="86" spans="1:20" x14ac:dyDescent="0.2">
      <c r="A86" s="28" t="s">
        <v>66</v>
      </c>
      <c r="B86" s="6"/>
      <c r="C86" s="51"/>
      <c r="D86" s="45"/>
      <c r="E86" s="5"/>
      <c r="F86" s="55"/>
      <c r="G86" s="93"/>
      <c r="H86" s="45" t="s">
        <v>149</v>
      </c>
      <c r="I86" s="45"/>
      <c r="J86" s="63" t="s">
        <v>148</v>
      </c>
      <c r="K86" s="45">
        <f>E88/1000</f>
        <v>21789.857</v>
      </c>
      <c r="L86" s="77"/>
      <c r="M86" s="52">
        <f>K86*$D$12</f>
        <v>43187496.574000001</v>
      </c>
      <c r="N86" s="14">
        <f>K86*$E$12</f>
        <v>784.43485199999998</v>
      </c>
      <c r="O86" s="14">
        <f>K86*$F$12</f>
        <v>291.98408380000001</v>
      </c>
      <c r="P86" s="14">
        <f t="shared" si="10"/>
        <v>43426404.924119398</v>
      </c>
      <c r="Q86" s="35"/>
      <c r="R86" s="9"/>
      <c r="S86" s="55"/>
      <c r="T86" s="54"/>
    </row>
    <row r="87" spans="1:20" x14ac:dyDescent="0.2">
      <c r="A87" s="6" t="s">
        <v>14</v>
      </c>
      <c r="B87" s="3" t="s">
        <v>50</v>
      </c>
      <c r="C87" s="59" t="s">
        <v>141</v>
      </c>
      <c r="D87" s="45">
        <v>28575000</v>
      </c>
      <c r="E87" s="109">
        <v>43714941.874526508</v>
      </c>
      <c r="F87" s="55"/>
      <c r="G87" s="93"/>
      <c r="H87" s="45" t="s">
        <v>151</v>
      </c>
      <c r="I87" s="45"/>
      <c r="J87" s="63" t="s">
        <v>148</v>
      </c>
      <c r="K87" s="76">
        <f>SUM(E89:E129)/1000</f>
        <v>40903.303999999996</v>
      </c>
      <c r="L87" s="79"/>
      <c r="M87" s="52">
        <f>K87*$D$12</f>
        <v>81070348.527999997</v>
      </c>
      <c r="N87" s="14">
        <f>K87*$E$12</f>
        <v>1472.5189439999997</v>
      </c>
      <c r="O87" s="14">
        <f>K87*$F$12</f>
        <v>548.10427359999994</v>
      </c>
      <c r="P87" s="14">
        <f t="shared" si="10"/>
        <v>81518820.533716798</v>
      </c>
      <c r="Q87" s="35"/>
      <c r="R87" s="9"/>
      <c r="S87" s="55"/>
      <c r="T87" s="54"/>
    </row>
    <row r="88" spans="1:20" x14ac:dyDescent="0.2">
      <c r="A88" s="6" t="s">
        <v>14</v>
      </c>
      <c r="B88" s="3" t="s">
        <v>51</v>
      </c>
      <c r="C88" s="59" t="s">
        <v>141</v>
      </c>
      <c r="D88" s="45">
        <v>20709173</v>
      </c>
      <c r="E88" s="109">
        <v>21789857</v>
      </c>
      <c r="F88" s="55"/>
      <c r="G88" s="93"/>
      <c r="H88" s="45" t="s">
        <v>153</v>
      </c>
      <c r="I88" s="45"/>
      <c r="J88" s="45" t="s">
        <v>143</v>
      </c>
      <c r="K88" s="45">
        <f>+E142</f>
        <v>348.66800000000001</v>
      </c>
      <c r="L88" s="77"/>
      <c r="M88" s="52">
        <f>K88*D13</f>
        <v>1036589.964</v>
      </c>
      <c r="N88" s="14">
        <f>K88*E13</f>
        <v>18.828071999999999</v>
      </c>
      <c r="O88" s="14">
        <f>K88*F13</f>
        <v>7.0082268000000001</v>
      </c>
      <c r="P88" s="14">
        <f t="shared" si="10"/>
        <v>1042324.2625284001</v>
      </c>
      <c r="Q88" s="35"/>
      <c r="R88" s="17"/>
      <c r="S88" s="55"/>
      <c r="T88" s="54"/>
    </row>
    <row r="89" spans="1:20" x14ac:dyDescent="0.2">
      <c r="A89" s="6" t="s">
        <v>14</v>
      </c>
      <c r="B89" s="6" t="s">
        <v>75</v>
      </c>
      <c r="C89" s="59" t="s">
        <v>141</v>
      </c>
      <c r="D89" s="45">
        <f>1171380+1171380+1440+568960</f>
        <v>2913160</v>
      </c>
      <c r="E89" s="109">
        <v>2603280</v>
      </c>
      <c r="F89" s="55"/>
      <c r="G89" s="93"/>
      <c r="H89" s="45" t="s">
        <v>154</v>
      </c>
      <c r="I89" s="45"/>
      <c r="J89" s="45" t="s">
        <v>143</v>
      </c>
      <c r="K89" s="45">
        <f>+E143</f>
        <v>290.48</v>
      </c>
      <c r="L89" s="45"/>
      <c r="M89" s="14">
        <f>K89*D14</f>
        <v>1036316.4480000001</v>
      </c>
      <c r="N89" s="18">
        <f>K89*E14</f>
        <v>18.823104000000001</v>
      </c>
      <c r="O89" s="18">
        <f>K89*F14</f>
        <v>7.0063776000000013</v>
      </c>
      <c r="P89" s="14">
        <f t="shared" si="10"/>
        <v>1042049.2334688001</v>
      </c>
      <c r="Q89" s="35"/>
      <c r="R89" s="44"/>
      <c r="S89" s="55"/>
      <c r="T89" s="54"/>
    </row>
    <row r="90" spans="1:20" x14ac:dyDescent="0.2">
      <c r="A90" s="113" t="s">
        <v>14</v>
      </c>
      <c r="B90" s="111" t="s">
        <v>181</v>
      </c>
      <c r="C90" s="112" t="s">
        <v>141</v>
      </c>
      <c r="D90" s="45"/>
      <c r="E90" s="109">
        <v>1423</v>
      </c>
      <c r="F90" s="55"/>
      <c r="G90" s="93"/>
      <c r="H90" s="55"/>
      <c r="I90" s="55"/>
      <c r="J90" s="55"/>
      <c r="K90" s="55"/>
      <c r="L90" s="55"/>
      <c r="M90" s="70"/>
      <c r="N90" s="71"/>
      <c r="O90" s="71"/>
      <c r="P90" s="70"/>
      <c r="Q90" s="35"/>
      <c r="R90" s="44"/>
      <c r="S90" s="55"/>
      <c r="T90" s="54"/>
    </row>
    <row r="91" spans="1:20" x14ac:dyDescent="0.2">
      <c r="A91" s="113" t="s">
        <v>14</v>
      </c>
      <c r="B91" s="111" t="s">
        <v>180</v>
      </c>
      <c r="C91" s="59" t="s">
        <v>141</v>
      </c>
      <c r="D91" s="45">
        <v>0</v>
      </c>
      <c r="E91" s="109">
        <v>377300</v>
      </c>
      <c r="F91" s="55"/>
      <c r="G91" s="93"/>
      <c r="H91" s="55"/>
      <c r="I91" s="55"/>
      <c r="J91" s="55"/>
      <c r="K91" s="55">
        <f>SUM(K85:K87)</f>
        <v>106408.10287452649</v>
      </c>
      <c r="L91" s="55"/>
      <c r="M91" s="70"/>
      <c r="N91" s="71"/>
      <c r="O91" s="71"/>
      <c r="P91" s="70"/>
      <c r="Q91" s="35"/>
      <c r="R91" s="44"/>
      <c r="S91" s="55"/>
      <c r="T91" s="54"/>
    </row>
    <row r="92" spans="1:20" x14ac:dyDescent="0.2">
      <c r="A92" s="6" t="s">
        <v>14</v>
      </c>
      <c r="B92" s="12" t="s">
        <v>78</v>
      </c>
      <c r="C92" s="59" t="s">
        <v>141</v>
      </c>
      <c r="D92" s="45">
        <v>1770197.5429975428</v>
      </c>
      <c r="E92" s="109">
        <v>1478016</v>
      </c>
      <c r="F92" s="56"/>
      <c r="G92" s="96"/>
      <c r="H92" s="55"/>
      <c r="I92" s="55"/>
      <c r="J92" s="55"/>
      <c r="K92" s="55"/>
      <c r="L92" s="55"/>
      <c r="M92" s="70"/>
      <c r="N92" s="71"/>
      <c r="O92" s="75" t="s">
        <v>68</v>
      </c>
      <c r="P92" s="70">
        <f>SUM(P84:P89)</f>
        <v>50728848.71484562</v>
      </c>
      <c r="Q92" s="35" t="s">
        <v>52</v>
      </c>
      <c r="R92" s="44"/>
      <c r="S92" s="55"/>
      <c r="T92" s="54"/>
    </row>
    <row r="93" spans="1:20" x14ac:dyDescent="0.2">
      <c r="A93" s="6" t="s">
        <v>14</v>
      </c>
      <c r="B93" s="12" t="s">
        <v>79</v>
      </c>
      <c r="C93" s="59" t="s">
        <v>141</v>
      </c>
      <c r="D93" s="45">
        <v>1190945.6511056512</v>
      </c>
      <c r="E93" s="109">
        <v>480608</v>
      </c>
      <c r="F93" s="56"/>
      <c r="G93" s="96"/>
      <c r="H93" s="55"/>
      <c r="I93" s="55"/>
      <c r="J93" s="55"/>
      <c r="K93" s="55"/>
      <c r="L93" s="55"/>
      <c r="M93" s="70"/>
      <c r="N93" s="71"/>
      <c r="O93" s="75"/>
      <c r="P93" s="70"/>
      <c r="Q93" s="35"/>
      <c r="R93" s="9"/>
      <c r="S93" s="55"/>
      <c r="T93" s="54"/>
    </row>
    <row r="94" spans="1:20" x14ac:dyDescent="0.2">
      <c r="A94" s="6" t="s">
        <v>14</v>
      </c>
      <c r="B94" s="12" t="s">
        <v>80</v>
      </c>
      <c r="C94" s="59" t="s">
        <v>141</v>
      </c>
      <c r="D94" s="45">
        <v>847411.54791154782</v>
      </c>
      <c r="E94" s="109">
        <v>687000</v>
      </c>
      <c r="F94" s="55"/>
      <c r="G94" s="93"/>
      <c r="H94" s="55"/>
      <c r="I94" s="55"/>
      <c r="J94" s="55"/>
      <c r="K94" s="55"/>
      <c r="L94" s="55"/>
      <c r="M94" s="70"/>
      <c r="N94" s="71"/>
      <c r="O94" s="71"/>
      <c r="P94" s="70">
        <f>P92/2000</f>
        <v>25364.424357422809</v>
      </c>
      <c r="Q94" s="35" t="s">
        <v>43</v>
      </c>
      <c r="R94" s="9"/>
      <c r="S94" s="55"/>
      <c r="T94" s="54"/>
    </row>
    <row r="95" spans="1:20" x14ac:dyDescent="0.2">
      <c r="A95" s="6" t="s">
        <v>14</v>
      </c>
      <c r="B95" s="6" t="s">
        <v>122</v>
      </c>
      <c r="C95" s="59" t="s">
        <v>141</v>
      </c>
      <c r="D95" s="45">
        <v>0</v>
      </c>
      <c r="E95" s="109">
        <v>663350</v>
      </c>
      <c r="F95" s="55"/>
      <c r="G95" s="93"/>
      <c r="H95" s="55"/>
      <c r="I95" s="55"/>
      <c r="J95" s="55"/>
      <c r="K95" s="55"/>
      <c r="L95" s="55"/>
      <c r="M95" s="70"/>
      <c r="N95" s="71"/>
      <c r="O95" s="71"/>
      <c r="P95" s="70"/>
      <c r="Q95" s="35"/>
      <c r="R95" s="9"/>
      <c r="S95" s="55"/>
      <c r="T95" s="54"/>
    </row>
    <row r="96" spans="1:20" x14ac:dyDescent="0.2">
      <c r="A96" s="6" t="s">
        <v>14</v>
      </c>
      <c r="B96" s="12" t="s">
        <v>87</v>
      </c>
      <c r="C96" s="59" t="s">
        <v>141</v>
      </c>
      <c r="D96" s="45">
        <v>109853.72645372646</v>
      </c>
      <c r="E96" s="109">
        <v>653200</v>
      </c>
      <c r="F96" s="55"/>
      <c r="G96" s="93"/>
      <c r="H96" s="55"/>
      <c r="I96" s="55"/>
      <c r="J96" s="55"/>
      <c r="K96" s="55"/>
      <c r="L96" s="55"/>
      <c r="M96" s="70"/>
      <c r="N96" s="71"/>
      <c r="O96" s="75" t="s">
        <v>159</v>
      </c>
      <c r="P96" s="71">
        <f>P80+P94</f>
        <v>328606.69810604485</v>
      </c>
      <c r="Q96" s="35" t="s">
        <v>43</v>
      </c>
      <c r="R96" s="9"/>
      <c r="S96" s="55"/>
      <c r="T96" s="54"/>
    </row>
    <row r="97" spans="1:20" ht="13.5" thickBot="1" x14ac:dyDescent="0.25">
      <c r="A97" s="6" t="s">
        <v>14</v>
      </c>
      <c r="B97" s="6" t="s">
        <v>83</v>
      </c>
      <c r="C97" s="59" t="s">
        <v>141</v>
      </c>
      <c r="D97" s="45">
        <v>0</v>
      </c>
      <c r="E97" s="109">
        <v>1517800</v>
      </c>
      <c r="F97" s="55"/>
      <c r="G97" s="97"/>
      <c r="H97" s="98"/>
      <c r="I97" s="98"/>
      <c r="J97" s="98"/>
      <c r="K97" s="98"/>
      <c r="L97" s="98"/>
      <c r="M97" s="99"/>
      <c r="N97" s="100"/>
      <c r="O97" s="100"/>
      <c r="P97" s="99"/>
      <c r="Q97" s="40"/>
      <c r="R97" s="9"/>
      <c r="S97" s="55"/>
      <c r="T97" s="54"/>
    </row>
    <row r="98" spans="1:20" x14ac:dyDescent="0.2">
      <c r="A98" s="6" t="s">
        <v>14</v>
      </c>
      <c r="B98" s="108" t="s">
        <v>123</v>
      </c>
      <c r="C98" s="59" t="s">
        <v>141</v>
      </c>
      <c r="D98" s="45">
        <v>10757</v>
      </c>
      <c r="E98" s="13">
        <v>0</v>
      </c>
      <c r="F98" s="55"/>
      <c r="G98" s="55"/>
      <c r="H98" s="55"/>
      <c r="I98" s="55"/>
      <c r="J98" s="55"/>
      <c r="K98" s="55"/>
      <c r="L98" s="55"/>
      <c r="M98" s="70"/>
      <c r="N98" s="71"/>
      <c r="O98" s="71"/>
      <c r="P98" s="70"/>
      <c r="R98" s="9"/>
      <c r="S98" s="55"/>
      <c r="T98" s="54"/>
    </row>
    <row r="99" spans="1:20" x14ac:dyDescent="0.2">
      <c r="A99" s="6" t="s">
        <v>14</v>
      </c>
      <c r="B99" s="6" t="s">
        <v>84</v>
      </c>
      <c r="C99" s="59" t="s">
        <v>141</v>
      </c>
      <c r="D99" s="45"/>
      <c r="E99" s="109">
        <v>637056</v>
      </c>
      <c r="F99" s="55"/>
      <c r="G99" s="55"/>
      <c r="H99" s="55"/>
      <c r="I99" s="139"/>
      <c r="J99" s="139"/>
      <c r="K99" s="139"/>
      <c r="L99" s="139"/>
      <c r="M99" s="70"/>
      <c r="N99" s="71"/>
      <c r="O99" s="71"/>
      <c r="P99" s="70"/>
      <c r="R99" s="9"/>
      <c r="S99" s="55"/>
      <c r="T99" s="54"/>
    </row>
    <row r="100" spans="1:20" x14ac:dyDescent="0.2">
      <c r="A100" s="6" t="s">
        <v>14</v>
      </c>
      <c r="B100" s="12" t="s">
        <v>85</v>
      </c>
      <c r="C100" s="59" t="s">
        <v>141</v>
      </c>
      <c r="D100" s="45">
        <v>1075028.665028665</v>
      </c>
      <c r="E100" s="109">
        <v>732800</v>
      </c>
      <c r="F100" s="55"/>
      <c r="I100" s="105"/>
      <c r="J100" s="105"/>
      <c r="K100" s="105"/>
      <c r="L100" s="105"/>
      <c r="M100" s="70"/>
      <c r="N100" s="71"/>
      <c r="O100" s="71"/>
      <c r="P100" s="70"/>
      <c r="R100" s="9"/>
      <c r="S100" s="55"/>
      <c r="T100" s="54"/>
    </row>
    <row r="101" spans="1:20" x14ac:dyDescent="0.2">
      <c r="A101" s="113" t="s">
        <v>14</v>
      </c>
      <c r="B101" s="6" t="s">
        <v>90</v>
      </c>
      <c r="C101" s="59" t="s">
        <v>141</v>
      </c>
      <c r="D101" s="45">
        <v>0</v>
      </c>
      <c r="E101" s="64">
        <v>4042</v>
      </c>
      <c r="F101" s="55"/>
      <c r="G101" s="55"/>
      <c r="H101" s="55"/>
      <c r="I101" s="55"/>
      <c r="J101" s="55"/>
      <c r="K101" s="55"/>
      <c r="L101" s="55"/>
      <c r="M101" s="70"/>
      <c r="N101" s="71"/>
      <c r="O101" s="71"/>
      <c r="P101" s="70"/>
      <c r="R101" s="9"/>
      <c r="S101" s="55"/>
      <c r="T101" s="54"/>
    </row>
    <row r="102" spans="1:20" x14ac:dyDescent="0.2">
      <c r="A102" s="6" t="s">
        <v>14</v>
      </c>
      <c r="B102" s="6" t="s">
        <v>124</v>
      </c>
      <c r="C102" s="59" t="s">
        <v>141</v>
      </c>
      <c r="D102" s="45">
        <v>0</v>
      </c>
      <c r="E102" s="109">
        <v>9056</v>
      </c>
      <c r="F102" s="55"/>
      <c r="G102" s="55"/>
      <c r="H102" s="55"/>
      <c r="I102" s="55"/>
      <c r="J102" s="55"/>
      <c r="K102" s="55"/>
      <c r="L102" s="55"/>
      <c r="M102" s="70"/>
      <c r="N102" s="71"/>
      <c r="O102" s="71"/>
      <c r="P102" s="70"/>
      <c r="R102" s="9"/>
      <c r="S102" s="55"/>
      <c r="T102" s="54"/>
    </row>
    <row r="103" spans="1:20" x14ac:dyDescent="0.2">
      <c r="A103" s="113" t="s">
        <v>14</v>
      </c>
      <c r="B103" s="6" t="s">
        <v>125</v>
      </c>
      <c r="C103" s="59" t="s">
        <v>141</v>
      </c>
      <c r="D103" s="45">
        <v>984</v>
      </c>
      <c r="E103" s="64">
        <v>443</v>
      </c>
      <c r="F103" s="55"/>
      <c r="G103" s="55"/>
      <c r="H103" s="55"/>
      <c r="I103" s="55"/>
      <c r="J103" s="55"/>
      <c r="K103" s="55"/>
      <c r="L103" s="55"/>
      <c r="M103" s="70"/>
      <c r="N103" s="71"/>
      <c r="O103" s="71"/>
      <c r="P103" s="70"/>
      <c r="R103" s="9"/>
      <c r="S103" s="55"/>
      <c r="T103" s="54"/>
    </row>
    <row r="104" spans="1:20" x14ac:dyDescent="0.2">
      <c r="A104" s="6" t="s">
        <v>14</v>
      </c>
      <c r="B104" s="6" t="s">
        <v>126</v>
      </c>
      <c r="C104" s="59" t="s">
        <v>141</v>
      </c>
      <c r="D104" s="45">
        <v>2104</v>
      </c>
      <c r="E104" s="109">
        <v>1175</v>
      </c>
      <c r="F104" s="55"/>
      <c r="G104" s="55"/>
      <c r="H104" s="55"/>
      <c r="I104" s="55"/>
      <c r="J104" s="55"/>
      <c r="K104" s="55"/>
      <c r="L104" s="104"/>
      <c r="M104" s="70"/>
      <c r="N104" s="71"/>
      <c r="O104" s="71"/>
      <c r="P104" s="70"/>
      <c r="R104" s="9"/>
      <c r="S104" s="55"/>
      <c r="T104" s="54"/>
    </row>
    <row r="105" spans="1:20" x14ac:dyDescent="0.2">
      <c r="A105" s="113" t="s">
        <v>14</v>
      </c>
      <c r="B105" s="6" t="s">
        <v>127</v>
      </c>
      <c r="C105" s="59" t="s">
        <v>141</v>
      </c>
      <c r="D105" s="45">
        <v>2087</v>
      </c>
      <c r="E105" s="64">
        <v>810</v>
      </c>
      <c r="F105" s="55"/>
      <c r="G105" s="55"/>
      <c r="I105" s="55"/>
      <c r="J105" s="55"/>
      <c r="K105" s="55"/>
      <c r="L105" s="55"/>
      <c r="M105" s="70"/>
      <c r="N105" s="71"/>
      <c r="O105" s="71"/>
      <c r="P105" s="70"/>
      <c r="R105" s="9"/>
      <c r="S105" s="55"/>
      <c r="T105" s="54"/>
    </row>
    <row r="106" spans="1:20" x14ac:dyDescent="0.2">
      <c r="A106" s="6" t="s">
        <v>14</v>
      </c>
      <c r="B106" s="6" t="s">
        <v>95</v>
      </c>
      <c r="C106" s="59" t="s">
        <v>141</v>
      </c>
      <c r="D106" s="45">
        <v>5963688</v>
      </c>
      <c r="E106" s="109">
        <v>10193400</v>
      </c>
      <c r="F106" s="55"/>
      <c r="G106" s="55"/>
      <c r="H106" s="55"/>
      <c r="I106" s="55"/>
      <c r="J106" s="104"/>
      <c r="K106" s="104"/>
      <c r="L106" s="104"/>
      <c r="M106" s="70"/>
      <c r="N106" s="71"/>
      <c r="O106" s="71"/>
      <c r="P106" s="70"/>
      <c r="R106" s="9"/>
      <c r="S106" s="55"/>
      <c r="T106" s="54"/>
    </row>
    <row r="107" spans="1:20" x14ac:dyDescent="0.2">
      <c r="A107" s="6" t="s">
        <v>14</v>
      </c>
      <c r="B107" s="12" t="s">
        <v>96</v>
      </c>
      <c r="C107" s="59" t="s">
        <v>141</v>
      </c>
      <c r="D107" s="45">
        <v>50004.750204750206</v>
      </c>
      <c r="E107" s="109">
        <v>41880</v>
      </c>
      <c r="F107" s="55"/>
      <c r="G107" s="55"/>
      <c r="H107" s="55"/>
      <c r="I107" s="55"/>
      <c r="J107" s="55"/>
      <c r="K107" s="55"/>
      <c r="L107" s="55"/>
      <c r="M107" s="70"/>
      <c r="N107" s="71"/>
      <c r="O107" s="71"/>
      <c r="P107" s="70"/>
      <c r="R107" s="9"/>
      <c r="S107" s="55"/>
      <c r="T107" s="54"/>
    </row>
    <row r="108" spans="1:20" x14ac:dyDescent="0.2">
      <c r="A108" s="113" t="s">
        <v>14</v>
      </c>
      <c r="B108" s="6" t="s">
        <v>97</v>
      </c>
      <c r="C108" s="59" t="s">
        <v>141</v>
      </c>
      <c r="D108" s="45">
        <v>3120539</v>
      </c>
      <c r="E108" s="64">
        <v>3669157</v>
      </c>
      <c r="F108" s="55"/>
      <c r="G108" s="55"/>
      <c r="H108" s="55"/>
      <c r="I108" s="55"/>
      <c r="J108" s="55"/>
      <c r="K108" s="55"/>
      <c r="L108" s="55"/>
      <c r="M108" s="70"/>
      <c r="N108" s="71"/>
      <c r="O108" s="71"/>
      <c r="P108" s="70"/>
      <c r="R108" s="9"/>
      <c r="S108" s="55"/>
      <c r="T108" s="54"/>
    </row>
    <row r="109" spans="1:20" x14ac:dyDescent="0.2">
      <c r="A109" s="6" t="s">
        <v>14</v>
      </c>
      <c r="B109" s="6" t="s">
        <v>101</v>
      </c>
      <c r="C109" s="59" t="s">
        <v>141</v>
      </c>
      <c r="D109" s="45">
        <v>60749</v>
      </c>
      <c r="E109" s="109">
        <v>175400</v>
      </c>
      <c r="F109" s="55"/>
      <c r="G109" s="55"/>
      <c r="H109" s="55"/>
      <c r="I109" s="55"/>
      <c r="J109" s="55"/>
      <c r="K109" s="55"/>
      <c r="L109" s="55"/>
      <c r="M109" s="70"/>
      <c r="N109" s="71"/>
      <c r="O109" s="71"/>
      <c r="P109" s="70"/>
      <c r="R109" s="9"/>
      <c r="S109" s="55"/>
      <c r="T109" s="54"/>
    </row>
    <row r="110" spans="1:20" x14ac:dyDescent="0.2">
      <c r="A110" s="6" t="s">
        <v>14</v>
      </c>
      <c r="B110" s="6" t="s">
        <v>104</v>
      </c>
      <c r="C110" s="59" t="s">
        <v>141</v>
      </c>
      <c r="D110" s="45">
        <v>463320</v>
      </c>
      <c r="E110" s="109">
        <v>253440</v>
      </c>
      <c r="F110" s="55"/>
      <c r="G110" s="55"/>
      <c r="H110" s="55"/>
      <c r="I110" s="55"/>
      <c r="J110" s="55"/>
      <c r="K110" s="55"/>
      <c r="L110" s="55"/>
      <c r="M110" s="70"/>
      <c r="N110" s="71"/>
      <c r="O110" s="71"/>
      <c r="P110" s="70"/>
      <c r="R110" s="9"/>
      <c r="S110" s="55"/>
      <c r="T110" s="54"/>
    </row>
    <row r="111" spans="1:20" x14ac:dyDescent="0.2">
      <c r="A111" s="6" t="s">
        <v>14</v>
      </c>
      <c r="B111" s="6" t="s">
        <v>105</v>
      </c>
      <c r="C111" s="59" t="s">
        <v>141</v>
      </c>
      <c r="D111" s="45">
        <f>3666.5+4666.5</f>
        <v>8333</v>
      </c>
      <c r="E111" s="109">
        <v>5598</v>
      </c>
      <c r="F111" s="55"/>
      <c r="G111" s="55"/>
      <c r="H111" s="55"/>
      <c r="I111" s="55"/>
      <c r="J111" s="55"/>
      <c r="K111" s="55"/>
      <c r="L111" s="55"/>
      <c r="M111" s="70"/>
      <c r="N111" s="71"/>
      <c r="O111" s="71"/>
      <c r="P111" s="70"/>
      <c r="R111" s="9"/>
      <c r="S111" s="55"/>
      <c r="T111" s="54"/>
    </row>
    <row r="112" spans="1:20" x14ac:dyDescent="0.2">
      <c r="A112" s="6" t="s">
        <v>14</v>
      </c>
      <c r="B112" s="6" t="s">
        <v>107</v>
      </c>
      <c r="C112" s="59" t="s">
        <v>141</v>
      </c>
      <c r="D112" s="45">
        <v>546360</v>
      </c>
      <c r="E112" s="109">
        <v>316440</v>
      </c>
      <c r="F112" s="55"/>
      <c r="G112" s="55"/>
      <c r="H112" s="55"/>
      <c r="I112" s="55"/>
      <c r="J112" s="55"/>
      <c r="K112" s="55"/>
      <c r="L112" s="55"/>
      <c r="M112" s="70"/>
      <c r="N112" s="71"/>
      <c r="O112" s="71"/>
      <c r="P112" s="70"/>
      <c r="R112" s="9"/>
      <c r="S112" s="55"/>
      <c r="T112" s="54"/>
    </row>
    <row r="113" spans="1:20" x14ac:dyDescent="0.2">
      <c r="A113" s="6" t="s">
        <v>14</v>
      </c>
      <c r="B113" s="12" t="s">
        <v>108</v>
      </c>
      <c r="C113" s="59" t="s">
        <v>141</v>
      </c>
      <c r="D113" s="45">
        <v>842195.57739557745</v>
      </c>
      <c r="E113" s="109">
        <v>540000</v>
      </c>
      <c r="F113" s="55"/>
      <c r="G113" s="55"/>
      <c r="H113" s="55"/>
      <c r="I113" s="55"/>
      <c r="J113" s="55"/>
      <c r="K113" s="55"/>
      <c r="L113" s="55"/>
      <c r="M113" s="70"/>
      <c r="N113" s="71"/>
      <c r="O113" s="71"/>
      <c r="P113" s="70"/>
      <c r="R113" s="9"/>
      <c r="S113" s="55"/>
      <c r="T113" s="54"/>
    </row>
    <row r="114" spans="1:20" x14ac:dyDescent="0.2">
      <c r="A114" s="6" t="s">
        <v>14</v>
      </c>
      <c r="B114" s="6" t="s">
        <v>128</v>
      </c>
      <c r="C114" s="59" t="s">
        <v>141</v>
      </c>
      <c r="D114" s="45">
        <v>1641780</v>
      </c>
      <c r="E114" s="109">
        <v>1927670</v>
      </c>
      <c r="F114" s="55"/>
      <c r="G114" s="55"/>
      <c r="H114" s="55"/>
      <c r="I114" s="55"/>
      <c r="J114" s="55"/>
      <c r="K114" s="55"/>
      <c r="L114" s="55"/>
      <c r="M114" s="70"/>
      <c r="N114" s="71"/>
      <c r="O114" s="71"/>
      <c r="P114" s="70"/>
      <c r="R114" s="9"/>
      <c r="S114" s="55"/>
      <c r="T114" s="54"/>
    </row>
    <row r="115" spans="1:20" x14ac:dyDescent="0.2">
      <c r="A115" s="113" t="s">
        <v>14</v>
      </c>
      <c r="B115" s="6" t="s">
        <v>132</v>
      </c>
      <c r="C115" s="59" t="s">
        <v>141</v>
      </c>
      <c r="D115" s="45">
        <v>1183265</v>
      </c>
      <c r="E115" s="64">
        <v>6022800</v>
      </c>
      <c r="F115" s="110" t="s">
        <v>178</v>
      </c>
      <c r="G115" s="55"/>
      <c r="H115" s="55"/>
      <c r="I115" s="55"/>
      <c r="J115" s="55"/>
      <c r="K115" s="55"/>
      <c r="L115" s="55"/>
      <c r="M115" s="70"/>
      <c r="N115" s="71"/>
      <c r="O115" s="71"/>
      <c r="P115" s="70"/>
      <c r="R115" s="9"/>
      <c r="S115" s="55"/>
      <c r="T115" s="54"/>
    </row>
    <row r="116" spans="1:20" x14ac:dyDescent="0.2">
      <c r="A116" s="6" t="s">
        <v>14</v>
      </c>
      <c r="B116" s="6" t="s">
        <v>133</v>
      </c>
      <c r="C116" s="59" t="s">
        <v>141</v>
      </c>
      <c r="D116" s="45">
        <v>1607786</v>
      </c>
      <c r="E116" s="45">
        <v>0</v>
      </c>
      <c r="F116" s="55"/>
      <c r="G116" s="55"/>
      <c r="H116" s="55"/>
      <c r="I116" s="55"/>
      <c r="J116" s="55"/>
      <c r="K116" s="55"/>
      <c r="L116" s="55"/>
      <c r="M116" s="70"/>
      <c r="N116" s="71"/>
      <c r="O116" s="71"/>
      <c r="P116" s="70"/>
      <c r="R116" s="9"/>
      <c r="S116" s="55"/>
      <c r="T116" s="54"/>
    </row>
    <row r="117" spans="1:20" x14ac:dyDescent="0.2">
      <c r="A117" s="6" t="s">
        <v>14</v>
      </c>
      <c r="B117" s="6" t="s">
        <v>135</v>
      </c>
      <c r="C117" s="59" t="s">
        <v>141</v>
      </c>
      <c r="D117" s="45">
        <v>360147.99999999994</v>
      </c>
      <c r="E117" s="45">
        <v>0</v>
      </c>
      <c r="F117" s="55"/>
      <c r="G117" s="55"/>
      <c r="H117" s="55"/>
      <c r="I117" s="55"/>
      <c r="J117" s="55"/>
      <c r="K117" s="55"/>
      <c r="L117" s="55"/>
      <c r="M117" s="70"/>
      <c r="N117" s="71"/>
      <c r="O117" s="71"/>
      <c r="P117" s="70"/>
      <c r="R117" s="9"/>
      <c r="S117" s="55"/>
      <c r="T117" s="54"/>
    </row>
    <row r="118" spans="1:20" x14ac:dyDescent="0.2">
      <c r="A118" s="6" t="s">
        <v>14</v>
      </c>
      <c r="B118" s="6" t="s">
        <v>134</v>
      </c>
      <c r="C118" s="59" t="s">
        <v>141</v>
      </c>
      <c r="D118" s="45">
        <v>2427214</v>
      </c>
      <c r="E118" s="45">
        <v>0</v>
      </c>
      <c r="F118" s="55"/>
      <c r="G118" s="55"/>
      <c r="H118" s="55"/>
      <c r="I118" s="55"/>
      <c r="J118" s="55"/>
      <c r="K118" s="55"/>
      <c r="L118" s="55"/>
      <c r="M118" s="70"/>
      <c r="N118" s="71"/>
      <c r="O118" s="71"/>
      <c r="P118" s="70"/>
      <c r="R118" s="9"/>
      <c r="S118" s="55"/>
      <c r="T118" s="54"/>
    </row>
    <row r="119" spans="1:20" x14ac:dyDescent="0.2">
      <c r="A119" s="113" t="s">
        <v>14</v>
      </c>
      <c r="B119" s="6" t="s">
        <v>115</v>
      </c>
      <c r="C119" s="59" t="s">
        <v>141</v>
      </c>
      <c r="D119" s="45">
        <v>11156</v>
      </c>
      <c r="E119" s="64">
        <v>5892800</v>
      </c>
      <c r="F119" s="110" t="s">
        <v>179</v>
      </c>
      <c r="G119" s="55"/>
      <c r="H119" s="55"/>
      <c r="I119" s="55"/>
      <c r="J119" s="55"/>
      <c r="K119" s="55"/>
      <c r="L119" s="55"/>
      <c r="M119" s="70"/>
      <c r="N119" s="71"/>
      <c r="O119" s="71"/>
      <c r="P119" s="70"/>
      <c r="R119" s="9"/>
      <c r="S119" s="55"/>
      <c r="T119" s="54"/>
    </row>
    <row r="120" spans="1:20" x14ac:dyDescent="0.2">
      <c r="A120" s="6" t="s">
        <v>14</v>
      </c>
      <c r="B120" s="6" t="s">
        <v>116</v>
      </c>
      <c r="C120" s="59" t="s">
        <v>141</v>
      </c>
      <c r="D120" s="45">
        <v>19540</v>
      </c>
      <c r="E120" s="45">
        <v>0</v>
      </c>
      <c r="F120" s="55"/>
      <c r="G120" s="55"/>
      <c r="H120" s="55"/>
      <c r="I120" s="55"/>
      <c r="J120" s="55"/>
      <c r="K120" s="55"/>
      <c r="L120" s="55"/>
      <c r="M120" s="70"/>
      <c r="N120" s="71"/>
      <c r="O120" s="71"/>
      <c r="P120" s="70"/>
      <c r="R120" s="9"/>
      <c r="S120" s="55"/>
      <c r="T120" s="54"/>
    </row>
    <row r="121" spans="1:20" x14ac:dyDescent="0.2">
      <c r="A121" s="6" t="s">
        <v>14</v>
      </c>
      <c r="B121" s="6" t="s">
        <v>117</v>
      </c>
      <c r="C121" s="59" t="s">
        <v>141</v>
      </c>
      <c r="D121" s="45">
        <v>15480</v>
      </c>
      <c r="E121" s="45">
        <v>0</v>
      </c>
      <c r="F121" s="55"/>
      <c r="G121" s="110"/>
      <c r="H121" s="55"/>
      <c r="I121" s="55"/>
      <c r="J121" s="55"/>
      <c r="K121" s="55"/>
      <c r="L121" s="55"/>
      <c r="M121" s="70"/>
      <c r="N121" s="71"/>
      <c r="O121" s="71"/>
      <c r="P121" s="70"/>
      <c r="R121" s="9"/>
      <c r="S121" s="55"/>
      <c r="T121" s="54"/>
    </row>
    <row r="122" spans="1:20" x14ac:dyDescent="0.2">
      <c r="A122" s="6" t="s">
        <v>14</v>
      </c>
      <c r="B122" s="6" t="s">
        <v>118</v>
      </c>
      <c r="C122" s="59" t="s">
        <v>141</v>
      </c>
      <c r="D122" s="45">
        <v>22194</v>
      </c>
      <c r="E122" s="45">
        <v>0</v>
      </c>
      <c r="F122" s="55"/>
      <c r="G122" s="55"/>
      <c r="H122" s="55"/>
      <c r="I122" s="55"/>
      <c r="J122" s="55"/>
      <c r="K122" s="55"/>
      <c r="L122" s="55"/>
      <c r="M122" s="70"/>
      <c r="N122" s="71"/>
      <c r="O122" s="71"/>
      <c r="P122" s="70"/>
      <c r="R122" s="9"/>
      <c r="S122" s="55"/>
      <c r="T122" s="54"/>
    </row>
    <row r="123" spans="1:20" x14ac:dyDescent="0.2">
      <c r="A123" s="113" t="s">
        <v>14</v>
      </c>
      <c r="B123" s="6" t="s">
        <v>136</v>
      </c>
      <c r="C123" s="59" t="s">
        <v>141</v>
      </c>
      <c r="D123" s="45">
        <v>0</v>
      </c>
      <c r="E123" s="64">
        <v>645236</v>
      </c>
      <c r="F123" s="55"/>
      <c r="G123" s="55"/>
      <c r="H123" s="55"/>
      <c r="I123" s="55"/>
      <c r="J123" s="55"/>
      <c r="K123" s="55"/>
      <c r="L123" s="55"/>
      <c r="M123" s="70"/>
      <c r="N123" s="71"/>
      <c r="O123" s="71"/>
      <c r="P123" s="70"/>
      <c r="R123" s="9"/>
      <c r="S123" s="55"/>
      <c r="T123" s="54"/>
    </row>
    <row r="124" spans="1:20" x14ac:dyDescent="0.2">
      <c r="A124" s="113" t="s">
        <v>14</v>
      </c>
      <c r="B124" s="6" t="s">
        <v>119</v>
      </c>
      <c r="C124" s="59" t="s">
        <v>141</v>
      </c>
      <c r="D124" s="45">
        <v>1061417</v>
      </c>
      <c r="E124" s="64">
        <v>1221617</v>
      </c>
      <c r="F124" s="55"/>
      <c r="G124" s="55"/>
      <c r="H124" s="55"/>
      <c r="I124" s="55"/>
      <c r="J124" s="55"/>
      <c r="K124" s="55"/>
      <c r="L124" s="55"/>
      <c r="M124" s="70"/>
      <c r="N124" s="71"/>
      <c r="O124" s="71"/>
      <c r="P124" s="70"/>
      <c r="R124" s="9"/>
      <c r="S124" s="55"/>
      <c r="T124" s="54"/>
    </row>
    <row r="125" spans="1:20" x14ac:dyDescent="0.2">
      <c r="A125" s="6" t="s">
        <v>14</v>
      </c>
      <c r="B125" s="6" t="s">
        <v>120</v>
      </c>
      <c r="C125" s="59" t="s">
        <v>141</v>
      </c>
      <c r="D125" s="45">
        <v>101231</v>
      </c>
      <c r="E125" s="109">
        <v>47267</v>
      </c>
      <c r="F125" s="55"/>
      <c r="G125" s="55"/>
      <c r="H125" s="55"/>
      <c r="I125" s="55"/>
      <c r="J125" s="55"/>
      <c r="K125" s="55"/>
      <c r="L125" s="55"/>
      <c r="M125" s="70"/>
      <c r="N125" s="71"/>
      <c r="O125" s="71"/>
      <c r="P125" s="70"/>
      <c r="R125" s="9"/>
      <c r="S125" s="55"/>
      <c r="T125" s="54"/>
    </row>
    <row r="126" spans="1:20" x14ac:dyDescent="0.2">
      <c r="A126" s="6" t="s">
        <v>14</v>
      </c>
      <c r="B126" s="6" t="s">
        <v>129</v>
      </c>
      <c r="C126" s="59" t="s">
        <v>141</v>
      </c>
      <c r="D126" s="45">
        <v>21568</v>
      </c>
      <c r="E126" s="109">
        <v>24413</v>
      </c>
      <c r="F126" s="55"/>
      <c r="G126" s="55"/>
      <c r="H126" s="55"/>
      <c r="I126" s="55"/>
      <c r="J126" s="55"/>
      <c r="K126" s="55"/>
      <c r="L126" s="55"/>
      <c r="M126" s="70"/>
      <c r="N126" s="71"/>
      <c r="O126" s="71"/>
      <c r="P126" s="70"/>
      <c r="R126" s="9"/>
      <c r="S126" s="57"/>
      <c r="T126" s="54"/>
    </row>
    <row r="127" spans="1:20" x14ac:dyDescent="0.2">
      <c r="A127" s="6" t="s">
        <v>14</v>
      </c>
      <c r="B127" s="6" t="s">
        <v>130</v>
      </c>
      <c r="C127" s="59" t="s">
        <v>141</v>
      </c>
      <c r="D127" s="45">
        <v>53382</v>
      </c>
      <c r="E127" s="109">
        <v>52820</v>
      </c>
      <c r="F127" s="55"/>
      <c r="G127" s="55"/>
      <c r="H127" s="55"/>
      <c r="I127" s="55"/>
      <c r="J127" s="55"/>
      <c r="K127" s="55"/>
      <c r="L127" s="55"/>
      <c r="M127" s="70"/>
      <c r="N127" s="71"/>
      <c r="O127" s="71"/>
      <c r="P127" s="70"/>
      <c r="R127" s="9"/>
      <c r="S127" s="57"/>
      <c r="T127" s="54"/>
    </row>
    <row r="128" spans="1:20" x14ac:dyDescent="0.2">
      <c r="A128" s="6" t="s">
        <v>14</v>
      </c>
      <c r="B128" s="6" t="s">
        <v>121</v>
      </c>
      <c r="C128" s="59" t="s">
        <v>141</v>
      </c>
      <c r="D128" s="45">
        <v>0</v>
      </c>
      <c r="E128" s="109">
        <v>19370</v>
      </c>
      <c r="F128" s="55"/>
      <c r="G128" s="55"/>
      <c r="H128" s="55"/>
      <c r="I128" s="55"/>
      <c r="J128" s="55"/>
      <c r="K128" s="55"/>
      <c r="L128" s="55"/>
      <c r="M128" s="70"/>
      <c r="N128" s="71"/>
      <c r="O128" s="71"/>
      <c r="P128" s="70"/>
      <c r="R128" s="9"/>
      <c r="S128" s="54"/>
      <c r="T128" s="54"/>
    </row>
    <row r="129" spans="1:20" x14ac:dyDescent="0.2">
      <c r="A129" s="6" t="s">
        <v>14</v>
      </c>
      <c r="B129" s="3" t="s">
        <v>131</v>
      </c>
      <c r="C129" s="59" t="s">
        <v>141</v>
      </c>
      <c r="D129" s="45">
        <f>409+11524</f>
        <v>11933</v>
      </c>
      <c r="E129" s="109">
        <v>6637</v>
      </c>
      <c r="F129" s="55"/>
      <c r="G129" s="55"/>
      <c r="H129" s="55"/>
      <c r="I129" s="55"/>
      <c r="J129" s="55"/>
      <c r="K129" s="55"/>
      <c r="L129" s="55"/>
      <c r="M129" s="70"/>
      <c r="N129" s="71"/>
      <c r="O129" s="71"/>
      <c r="P129" s="70"/>
      <c r="R129" s="9"/>
      <c r="S129" s="54"/>
      <c r="T129" s="54"/>
    </row>
    <row r="130" spans="1:20" x14ac:dyDescent="0.2">
      <c r="A130" s="6"/>
      <c r="B130" s="3"/>
      <c r="C130" s="59"/>
      <c r="D130" s="45"/>
      <c r="E130" s="109"/>
      <c r="F130" s="55"/>
      <c r="G130" s="55"/>
      <c r="H130" s="55"/>
      <c r="I130" s="55"/>
      <c r="J130" s="55"/>
      <c r="K130" s="55"/>
      <c r="L130" s="55"/>
      <c r="M130" s="70"/>
      <c r="N130" s="71"/>
      <c r="O130" s="71"/>
      <c r="P130" s="70"/>
      <c r="R130" s="9"/>
      <c r="S130" s="54"/>
      <c r="T130" s="54"/>
    </row>
    <row r="131" spans="1:20" x14ac:dyDescent="0.2">
      <c r="A131" s="6"/>
      <c r="B131" s="3"/>
      <c r="C131" s="59"/>
      <c r="D131" s="45"/>
      <c r="E131" s="109"/>
      <c r="F131" s="55"/>
      <c r="G131" s="55"/>
      <c r="H131" s="55"/>
      <c r="I131" s="55"/>
      <c r="J131" s="55"/>
      <c r="K131" s="55"/>
      <c r="L131" s="55"/>
      <c r="M131" s="70"/>
      <c r="N131" s="71"/>
      <c r="O131" s="71"/>
      <c r="P131" s="70"/>
      <c r="R131" s="9"/>
      <c r="S131" s="54"/>
      <c r="T131" s="54"/>
    </row>
    <row r="132" spans="1:20" x14ac:dyDescent="0.2">
      <c r="A132" s="6" t="s">
        <v>14</v>
      </c>
      <c r="B132" s="111" t="s">
        <v>191</v>
      </c>
      <c r="C132" s="112" t="s">
        <v>141</v>
      </c>
      <c r="D132" s="45"/>
      <c r="E132" s="109">
        <v>17719647</v>
      </c>
      <c r="F132" s="55"/>
      <c r="G132" s="55"/>
      <c r="H132" s="56"/>
      <c r="I132" s="56"/>
      <c r="J132" s="56"/>
      <c r="K132" s="56"/>
      <c r="L132" s="135"/>
      <c r="M132" s="70"/>
      <c r="N132" s="71"/>
      <c r="O132" s="71"/>
      <c r="P132" s="70"/>
      <c r="R132" s="9"/>
      <c r="S132" s="54"/>
      <c r="T132" s="54"/>
    </row>
    <row r="133" spans="1:20" x14ac:dyDescent="0.2">
      <c r="A133" s="6" t="s">
        <v>14</v>
      </c>
      <c r="B133" s="111" t="s">
        <v>192</v>
      </c>
      <c r="C133" s="112" t="s">
        <v>141</v>
      </c>
      <c r="D133" s="45"/>
      <c r="E133" s="132">
        <v>1315719</v>
      </c>
      <c r="F133" s="55"/>
      <c r="G133" s="55"/>
      <c r="H133" s="56"/>
      <c r="I133" s="56"/>
      <c r="J133" s="56"/>
      <c r="K133" s="56"/>
      <c r="L133" s="56"/>
      <c r="M133" s="70"/>
      <c r="N133" s="71"/>
      <c r="O133" s="71"/>
      <c r="P133" s="70"/>
      <c r="R133" s="9"/>
      <c r="S133" s="54"/>
      <c r="T133" s="54"/>
    </row>
    <row r="134" spans="1:20" x14ac:dyDescent="0.2">
      <c r="A134" s="6" t="s">
        <v>14</v>
      </c>
      <c r="B134" s="111" t="s">
        <v>196</v>
      </c>
      <c r="C134" s="112" t="s">
        <v>141</v>
      </c>
      <c r="D134" s="45"/>
      <c r="E134" s="109">
        <v>91359</v>
      </c>
      <c r="F134" s="55"/>
      <c r="G134" s="55"/>
      <c r="H134" s="56"/>
      <c r="I134" s="56"/>
      <c r="J134" s="56"/>
      <c r="K134" s="56"/>
      <c r="L134" s="136"/>
      <c r="M134" s="70"/>
      <c r="N134" s="71"/>
      <c r="O134" s="71"/>
      <c r="P134" s="70"/>
      <c r="R134" s="9"/>
      <c r="S134" s="54"/>
      <c r="T134" s="54"/>
    </row>
    <row r="135" spans="1:20" x14ac:dyDescent="0.2">
      <c r="A135" s="6" t="s">
        <v>14</v>
      </c>
      <c r="B135" s="111" t="s">
        <v>197</v>
      </c>
      <c r="C135" s="112" t="s">
        <v>141</v>
      </c>
      <c r="D135" s="45"/>
      <c r="E135" s="109">
        <v>29274</v>
      </c>
      <c r="F135" s="55"/>
      <c r="G135" s="55"/>
      <c r="H135" s="56"/>
      <c r="I135" s="56"/>
      <c r="J135" s="56"/>
      <c r="K135" s="56"/>
      <c r="L135" s="56"/>
      <c r="M135" s="70"/>
      <c r="N135" s="71"/>
      <c r="O135" s="71"/>
      <c r="P135" s="70"/>
      <c r="R135" s="9"/>
      <c r="S135" s="54"/>
      <c r="T135" s="54"/>
    </row>
    <row r="136" spans="1:20" x14ac:dyDescent="0.2">
      <c r="A136" s="6"/>
      <c r="B136" s="3"/>
      <c r="C136" s="66"/>
      <c r="D136" s="45"/>
      <c r="E136" s="109"/>
      <c r="F136" s="55"/>
      <c r="G136" s="55"/>
      <c r="H136" s="56"/>
      <c r="I136" s="56"/>
      <c r="J136" s="56"/>
      <c r="K136" s="56"/>
      <c r="L136" s="56"/>
      <c r="M136" s="70"/>
      <c r="N136" s="71"/>
      <c r="O136" s="71"/>
      <c r="P136" s="70"/>
      <c r="R136" s="9"/>
      <c r="S136" s="54"/>
      <c r="T136" s="54"/>
    </row>
    <row r="137" spans="1:20" x14ac:dyDescent="0.2">
      <c r="A137" s="6"/>
      <c r="B137" s="3"/>
      <c r="C137" s="59"/>
      <c r="D137" s="133" t="s">
        <v>195</v>
      </c>
      <c r="E137" s="109">
        <f>SUM(E87:E136)</f>
        <v>125564101.8745265</v>
      </c>
      <c r="F137" s="55"/>
      <c r="G137" s="55"/>
      <c r="H137" s="56"/>
      <c r="I137" s="56"/>
      <c r="J137" s="56"/>
      <c r="K137" s="56"/>
      <c r="L137" s="56"/>
      <c r="M137" s="70"/>
      <c r="N137" s="71"/>
      <c r="O137" s="71"/>
      <c r="P137" s="70"/>
      <c r="R137" s="9"/>
      <c r="S137" s="54"/>
      <c r="T137" s="54"/>
    </row>
    <row r="138" spans="1:20" x14ac:dyDescent="0.2">
      <c r="A138" s="6"/>
      <c r="B138" s="3"/>
      <c r="C138" s="59"/>
      <c r="D138" s="133"/>
      <c r="E138" s="13"/>
      <c r="F138" s="55"/>
      <c r="G138" s="55"/>
      <c r="H138" s="56"/>
      <c r="I138" s="56"/>
      <c r="J138" s="56"/>
      <c r="K138" s="56"/>
      <c r="L138" s="56"/>
      <c r="M138" s="70"/>
      <c r="N138" s="71"/>
      <c r="O138" s="71"/>
      <c r="P138" s="70"/>
      <c r="R138" s="9"/>
      <c r="S138" s="54"/>
      <c r="T138" s="54"/>
    </row>
    <row r="139" spans="1:20" x14ac:dyDescent="0.2">
      <c r="A139" s="6"/>
      <c r="B139" s="3"/>
      <c r="C139" s="59"/>
      <c r="D139" s="133"/>
      <c r="E139" s="13"/>
      <c r="F139" s="55"/>
      <c r="G139" s="55"/>
      <c r="H139" s="56"/>
      <c r="I139" s="56"/>
      <c r="J139" s="56"/>
      <c r="K139" s="56"/>
      <c r="L139" s="56"/>
      <c r="M139" s="70"/>
      <c r="N139" s="71"/>
      <c r="O139" s="71"/>
      <c r="P139" s="70"/>
      <c r="R139" s="9"/>
      <c r="S139" s="54"/>
      <c r="T139" s="54"/>
    </row>
    <row r="140" spans="1:20" x14ac:dyDescent="0.2">
      <c r="A140" s="6" t="s">
        <v>14</v>
      </c>
      <c r="B140" s="111" t="s">
        <v>186</v>
      </c>
      <c r="C140" s="112" t="s">
        <v>141</v>
      </c>
      <c r="D140" s="45"/>
      <c r="E140" s="109">
        <v>-82000000</v>
      </c>
      <c r="F140" s="55"/>
      <c r="G140" s="55"/>
      <c r="H140" s="56"/>
      <c r="I140" s="56"/>
      <c r="J140" s="56"/>
      <c r="K140" s="56"/>
      <c r="L140" s="56"/>
      <c r="M140" s="70"/>
      <c r="N140" s="71"/>
      <c r="O140" s="71"/>
      <c r="P140" s="70"/>
      <c r="R140" s="9"/>
      <c r="S140" s="54"/>
      <c r="T140" s="54"/>
    </row>
    <row r="141" spans="1:20" x14ac:dyDescent="0.2">
      <c r="A141" s="6"/>
      <c r="B141" s="3"/>
      <c r="C141" s="59"/>
      <c r="D141" s="45"/>
      <c r="E141" s="13"/>
      <c r="F141" s="55"/>
      <c r="G141" s="55"/>
      <c r="H141" s="56"/>
      <c r="I141" s="56"/>
      <c r="J141" s="56"/>
      <c r="K141" s="56"/>
      <c r="L141" s="56"/>
      <c r="M141" s="70"/>
      <c r="N141" s="71"/>
      <c r="O141" s="71"/>
      <c r="P141" s="70"/>
      <c r="R141" s="9"/>
      <c r="S141" s="54"/>
      <c r="T141" s="54"/>
    </row>
    <row r="142" spans="1:20" x14ac:dyDescent="0.2">
      <c r="A142" s="12" t="s">
        <v>30</v>
      </c>
      <c r="B142" s="12" t="s">
        <v>16</v>
      </c>
      <c r="C142" s="60" t="s">
        <v>143</v>
      </c>
      <c r="D142" s="46">
        <v>340.7</v>
      </c>
      <c r="E142" s="119">
        <v>348.66800000000001</v>
      </c>
      <c r="F142" s="55"/>
      <c r="G142" s="55"/>
      <c r="H142" s="56"/>
      <c r="I142" s="56"/>
      <c r="J142" s="56"/>
      <c r="K142" s="56"/>
      <c r="L142" s="56"/>
      <c r="M142" s="70"/>
      <c r="N142" s="71"/>
      <c r="O142" s="71"/>
      <c r="P142" s="70"/>
      <c r="R142" s="9"/>
      <c r="S142" s="54"/>
      <c r="T142" s="54"/>
    </row>
    <row r="143" spans="1:20" x14ac:dyDescent="0.2">
      <c r="A143" s="6" t="s">
        <v>31</v>
      </c>
      <c r="B143" s="6" t="s">
        <v>32</v>
      </c>
      <c r="C143" s="51" t="s">
        <v>143</v>
      </c>
      <c r="D143" s="46">
        <v>315.60000000000002</v>
      </c>
      <c r="E143" s="119">
        <v>290.48</v>
      </c>
      <c r="F143" s="55"/>
      <c r="G143" s="55"/>
      <c r="H143" s="55"/>
      <c r="I143" s="55"/>
      <c r="J143" s="55"/>
      <c r="K143" s="55"/>
      <c r="L143" s="55"/>
      <c r="M143" s="70"/>
      <c r="N143" s="71"/>
      <c r="O143" s="71"/>
      <c r="P143" s="70"/>
      <c r="R143" s="44"/>
      <c r="S143" s="54"/>
      <c r="T143" s="54"/>
    </row>
    <row r="144" spans="1:20" x14ac:dyDescent="0.2">
      <c r="C144" s="9"/>
      <c r="D144" s="55"/>
      <c r="F144" s="55"/>
      <c r="G144" s="55"/>
      <c r="H144" s="55"/>
      <c r="I144" s="55"/>
      <c r="J144" s="55"/>
      <c r="K144" s="55"/>
      <c r="L144" s="55"/>
      <c r="M144" s="70"/>
      <c r="N144" s="71"/>
      <c r="O144" s="71"/>
      <c r="P144" s="70"/>
      <c r="R144" s="44"/>
      <c r="S144" s="54"/>
      <c r="T144" s="54"/>
    </row>
    <row r="145" spans="1:20" x14ac:dyDescent="0.2">
      <c r="C145" s="9"/>
      <c r="D145" s="55"/>
      <c r="F145" s="55"/>
      <c r="G145" s="55"/>
      <c r="H145" s="55"/>
      <c r="I145" s="55"/>
      <c r="J145" s="55"/>
      <c r="K145" s="55"/>
      <c r="L145" s="55"/>
      <c r="M145" s="70"/>
      <c r="N145" s="71"/>
      <c r="O145" s="71"/>
      <c r="P145" s="70"/>
      <c r="R145" s="17"/>
      <c r="S145" s="54"/>
      <c r="T145" s="54"/>
    </row>
    <row r="146" spans="1:20" x14ac:dyDescent="0.2">
      <c r="A146" s="114"/>
      <c r="B146" s="115" t="s">
        <v>182</v>
      </c>
      <c r="C146" s="9"/>
      <c r="D146" s="55"/>
      <c r="F146" s="55"/>
      <c r="G146" s="55"/>
      <c r="H146" s="55"/>
      <c r="I146" s="55"/>
      <c r="J146" s="55"/>
      <c r="K146" s="55"/>
      <c r="L146" s="55"/>
      <c r="M146" s="70"/>
      <c r="N146" s="71"/>
      <c r="O146" s="71"/>
      <c r="P146" s="70"/>
      <c r="R146" s="17"/>
      <c r="S146" s="54"/>
      <c r="T146" s="54"/>
    </row>
    <row r="147" spans="1:20" customFormat="1" x14ac:dyDescent="0.2">
      <c r="A147" s="8"/>
      <c r="B147" s="8"/>
      <c r="C147" s="9"/>
      <c r="D147" s="55"/>
      <c r="E147" s="8"/>
      <c r="F147" s="55"/>
      <c r="G147" s="55"/>
      <c r="H147" s="55"/>
      <c r="I147" s="55"/>
      <c r="J147" s="55"/>
      <c r="K147" s="55"/>
      <c r="L147" s="55"/>
      <c r="M147" s="70"/>
      <c r="N147" s="71"/>
      <c r="O147" s="71"/>
      <c r="P147" s="70"/>
      <c r="Q147" s="8"/>
      <c r="R147" s="8"/>
      <c r="S147" s="58"/>
      <c r="T147" s="58"/>
    </row>
    <row r="148" spans="1:20" customFormat="1" x14ac:dyDescent="0.2">
      <c r="C148" s="1"/>
      <c r="D148" s="55"/>
      <c r="F148" s="57"/>
      <c r="G148" s="57"/>
      <c r="H148" s="55"/>
      <c r="I148" s="55"/>
      <c r="J148" s="55"/>
      <c r="K148" s="55"/>
      <c r="L148" s="55"/>
      <c r="M148" s="70"/>
      <c r="N148" s="71"/>
      <c r="O148" s="71"/>
      <c r="P148" s="70"/>
      <c r="Q148" s="8"/>
      <c r="R148" s="15"/>
      <c r="S148" s="58"/>
      <c r="T148" s="58"/>
    </row>
    <row r="149" spans="1:20" customFormat="1" x14ac:dyDescent="0.2">
      <c r="C149" s="1"/>
      <c r="D149" s="55"/>
      <c r="E149" s="58"/>
      <c r="F149" s="57"/>
      <c r="G149" s="57"/>
      <c r="H149" s="55"/>
      <c r="I149" s="55"/>
      <c r="J149" s="55"/>
      <c r="K149" s="55"/>
      <c r="L149" s="55"/>
      <c r="M149" s="70"/>
      <c r="N149" s="71"/>
      <c r="O149" s="71"/>
      <c r="P149" s="70"/>
      <c r="Q149" s="8"/>
      <c r="R149" s="8"/>
      <c r="S149" s="58"/>
      <c r="T149" s="58"/>
    </row>
    <row r="150" spans="1:20" customFormat="1" x14ac:dyDescent="0.2">
      <c r="C150" s="1"/>
      <c r="D150" s="55"/>
      <c r="E150" s="58"/>
      <c r="F150" s="54"/>
      <c r="G150" s="54"/>
      <c r="H150" s="55"/>
      <c r="I150" s="55"/>
      <c r="J150" s="55"/>
      <c r="K150" s="55"/>
      <c r="L150" s="55"/>
      <c r="M150" s="70"/>
      <c r="N150" s="71"/>
      <c r="O150" s="71"/>
      <c r="P150" s="70"/>
      <c r="Q150" s="8"/>
      <c r="R150" s="8"/>
      <c r="S150" s="58"/>
      <c r="T150" s="58"/>
    </row>
    <row r="151" spans="1:20" customFormat="1" x14ac:dyDescent="0.2">
      <c r="C151" s="1"/>
      <c r="D151" s="55"/>
      <c r="E151" s="58"/>
      <c r="F151" s="54"/>
      <c r="G151" s="54"/>
      <c r="H151" s="55"/>
      <c r="I151" s="55"/>
      <c r="J151" s="55"/>
      <c r="K151" s="55"/>
      <c r="L151" s="55"/>
      <c r="M151" s="70"/>
      <c r="N151" s="71"/>
      <c r="O151" s="71"/>
      <c r="P151" s="70"/>
      <c r="Q151" s="8"/>
      <c r="S151" s="58"/>
      <c r="T151" s="58"/>
    </row>
    <row r="152" spans="1:20" customFormat="1" x14ac:dyDescent="0.2">
      <c r="C152" s="1"/>
      <c r="D152" s="55"/>
      <c r="E152" s="58"/>
      <c r="F152" s="54"/>
      <c r="G152" s="54"/>
      <c r="H152" s="55"/>
      <c r="I152" s="55"/>
      <c r="J152" s="55"/>
      <c r="K152" s="55"/>
      <c r="L152" s="55"/>
      <c r="M152" s="70"/>
      <c r="N152" s="71"/>
      <c r="O152" s="71"/>
      <c r="P152" s="70"/>
      <c r="Q152" s="8"/>
      <c r="S152" s="58"/>
      <c r="T152" s="58"/>
    </row>
    <row r="153" spans="1:20" customFormat="1" x14ac:dyDescent="0.2">
      <c r="C153" s="1"/>
      <c r="D153" s="55"/>
      <c r="E153" s="58"/>
      <c r="F153" s="54"/>
      <c r="G153" s="54"/>
      <c r="H153" s="55"/>
      <c r="I153" s="55"/>
      <c r="J153" s="55"/>
      <c r="K153" s="55"/>
      <c r="L153" s="55"/>
      <c r="M153" s="70"/>
      <c r="N153" s="71"/>
      <c r="O153" s="71"/>
      <c r="P153" s="70"/>
      <c r="Q153" s="8"/>
      <c r="S153" s="58"/>
      <c r="T153" s="58"/>
    </row>
    <row r="154" spans="1:20" customFormat="1" x14ac:dyDescent="0.2">
      <c r="C154" s="1"/>
      <c r="D154" s="61"/>
      <c r="E154" s="58"/>
      <c r="F154" s="58"/>
      <c r="G154" s="58"/>
      <c r="H154" s="55"/>
      <c r="I154" s="55"/>
      <c r="J154" s="55"/>
      <c r="K154" s="55"/>
      <c r="L154" s="55"/>
      <c r="M154" s="70"/>
      <c r="N154" s="71"/>
      <c r="O154" s="71"/>
      <c r="P154" s="70"/>
      <c r="Q154" s="8"/>
      <c r="S154" s="58"/>
      <c r="T154" s="58"/>
    </row>
    <row r="155" spans="1:20" x14ac:dyDescent="0.2">
      <c r="A155"/>
      <c r="B155"/>
      <c r="C155" s="1"/>
      <c r="D155" s="61"/>
      <c r="E155" s="58"/>
      <c r="F155" s="54"/>
      <c r="G155" s="54"/>
      <c r="H155" s="55"/>
      <c r="I155" s="55"/>
      <c r="J155" s="55"/>
      <c r="K155" s="55"/>
      <c r="L155" s="55"/>
      <c r="M155" s="70"/>
      <c r="N155" s="71"/>
      <c r="O155" s="71"/>
      <c r="P155" s="70"/>
      <c r="R155"/>
      <c r="S155" s="54"/>
      <c r="T155" s="54"/>
    </row>
    <row r="156" spans="1:20" x14ac:dyDescent="0.2">
      <c r="C156" s="9"/>
      <c r="D156" s="61"/>
      <c r="E156" s="54"/>
      <c r="F156" s="54"/>
      <c r="G156" s="54"/>
      <c r="H156" s="55"/>
      <c r="I156" s="55"/>
      <c r="J156" s="55"/>
      <c r="K156" s="55"/>
      <c r="L156" s="55"/>
      <c r="M156" s="70"/>
      <c r="N156" s="71"/>
      <c r="O156" s="71"/>
      <c r="P156" s="70"/>
      <c r="R156"/>
      <c r="S156" s="54"/>
      <c r="T156" s="54"/>
    </row>
    <row r="157" spans="1:20" x14ac:dyDescent="0.2">
      <c r="C157" s="9"/>
      <c r="D157" s="61"/>
      <c r="E157" s="54"/>
      <c r="F157" s="54"/>
      <c r="G157" s="54"/>
      <c r="H157" s="55"/>
      <c r="I157" s="55"/>
      <c r="J157" s="55"/>
      <c r="K157" s="55"/>
      <c r="L157" s="55"/>
      <c r="M157" s="70"/>
      <c r="N157" s="71"/>
      <c r="O157" s="71"/>
      <c r="P157" s="70"/>
      <c r="R157"/>
      <c r="S157" s="54"/>
      <c r="T157" s="54"/>
    </row>
    <row r="158" spans="1:20" x14ac:dyDescent="0.2">
      <c r="C158" s="9"/>
      <c r="D158" s="61"/>
      <c r="E158" s="54"/>
      <c r="F158" s="54"/>
      <c r="G158" s="54"/>
      <c r="H158" s="55"/>
      <c r="I158" s="55"/>
      <c r="J158" s="55"/>
      <c r="K158" s="55"/>
      <c r="L158" s="55"/>
      <c r="M158" s="70"/>
      <c r="N158" s="71"/>
      <c r="O158" s="71"/>
      <c r="P158" s="70"/>
      <c r="S158" s="54"/>
      <c r="T158" s="54"/>
    </row>
    <row r="159" spans="1:20" x14ac:dyDescent="0.2">
      <c r="C159" s="9"/>
      <c r="D159" s="61"/>
      <c r="E159" s="54"/>
      <c r="F159" s="58"/>
      <c r="G159" s="58"/>
      <c r="H159" s="55"/>
      <c r="I159" s="55"/>
      <c r="J159" s="55"/>
      <c r="K159" s="55"/>
      <c r="L159" s="55"/>
      <c r="M159" s="70"/>
      <c r="N159" s="71"/>
      <c r="O159" s="71"/>
      <c r="P159" s="70"/>
      <c r="S159" s="54"/>
      <c r="T159" s="54"/>
    </row>
    <row r="160" spans="1:20" x14ac:dyDescent="0.2">
      <c r="C160" s="9"/>
      <c r="D160" s="61"/>
      <c r="F160" s="58"/>
      <c r="G160" s="58"/>
      <c r="H160" s="55"/>
      <c r="I160" s="55"/>
      <c r="J160" s="55"/>
      <c r="K160" s="55"/>
      <c r="L160" s="55"/>
      <c r="M160" s="70"/>
      <c r="N160" s="71"/>
      <c r="O160" s="71"/>
      <c r="P160" s="70"/>
      <c r="S160" s="54"/>
      <c r="T160" s="54"/>
    </row>
    <row r="161" spans="3:20" x14ac:dyDescent="0.2">
      <c r="C161" s="9"/>
      <c r="D161" s="61"/>
      <c r="F161" s="58"/>
      <c r="G161" s="58"/>
      <c r="H161" s="55"/>
      <c r="I161" s="55"/>
      <c r="J161" s="55"/>
      <c r="K161" s="55"/>
      <c r="L161" s="55"/>
      <c r="M161" s="70"/>
      <c r="N161" s="71"/>
      <c r="O161" s="71"/>
      <c r="P161" s="70"/>
      <c r="S161" s="54"/>
      <c r="T161" s="54"/>
    </row>
    <row r="162" spans="3:20" x14ac:dyDescent="0.2">
      <c r="C162" s="9"/>
      <c r="D162" s="61"/>
      <c r="F162" s="58"/>
      <c r="G162" s="58"/>
      <c r="H162" s="55"/>
      <c r="I162" s="55"/>
      <c r="J162" s="55"/>
      <c r="K162" s="55"/>
      <c r="L162" s="55"/>
      <c r="M162" s="70"/>
      <c r="N162" s="71"/>
      <c r="O162" s="71"/>
      <c r="P162" s="70"/>
      <c r="S162" s="54"/>
      <c r="T162" s="54"/>
    </row>
    <row r="163" spans="3:20" x14ac:dyDescent="0.2">
      <c r="C163" s="9"/>
      <c r="D163" s="61"/>
      <c r="E163" s="33"/>
      <c r="F163" s="58"/>
      <c r="G163" s="58"/>
      <c r="H163" s="55"/>
      <c r="I163" s="55"/>
      <c r="J163" s="55"/>
      <c r="K163" s="55"/>
      <c r="L163" s="55"/>
      <c r="M163" s="70"/>
      <c r="N163" s="71"/>
      <c r="O163" s="71"/>
      <c r="P163" s="70"/>
      <c r="S163" s="54"/>
      <c r="T163" s="54"/>
    </row>
    <row r="164" spans="3:20" x14ac:dyDescent="0.2">
      <c r="C164" s="9"/>
      <c r="D164" s="61"/>
      <c r="E164" s="33"/>
      <c r="F164" s="58"/>
      <c r="G164" s="58"/>
      <c r="H164" s="55"/>
      <c r="I164" s="55"/>
      <c r="J164" s="55"/>
      <c r="K164" s="55"/>
      <c r="L164" s="55"/>
      <c r="M164" s="70"/>
      <c r="N164" s="71"/>
      <c r="O164" s="71"/>
      <c r="P164" s="70"/>
      <c r="S164" s="54"/>
      <c r="T164" s="54"/>
    </row>
    <row r="165" spans="3:20" x14ac:dyDescent="0.2">
      <c r="C165" s="9"/>
      <c r="D165" s="61"/>
      <c r="E165" s="33"/>
      <c r="F165" s="58"/>
      <c r="G165" s="58"/>
      <c r="H165" s="55"/>
      <c r="I165" s="55"/>
      <c r="J165" s="55"/>
      <c r="K165" s="55"/>
      <c r="L165" s="55"/>
      <c r="M165" s="70"/>
      <c r="N165" s="71"/>
      <c r="O165" s="71"/>
      <c r="P165" s="70"/>
      <c r="S165" s="54"/>
      <c r="T165" s="54"/>
    </row>
    <row r="166" spans="3:20" x14ac:dyDescent="0.2">
      <c r="C166" s="9"/>
      <c r="D166" s="61"/>
      <c r="E166" s="33"/>
      <c r="F166" s="58"/>
      <c r="G166" s="58"/>
      <c r="H166" s="55"/>
      <c r="I166" s="55"/>
      <c r="J166" s="55"/>
      <c r="K166" s="55"/>
      <c r="L166" s="55"/>
      <c r="M166" s="70"/>
      <c r="N166" s="71"/>
      <c r="O166" s="71"/>
      <c r="P166" s="70"/>
      <c r="S166" s="54"/>
      <c r="T166" s="54"/>
    </row>
    <row r="167" spans="3:20" x14ac:dyDescent="0.2">
      <c r="C167" s="9"/>
      <c r="D167" s="61"/>
      <c r="F167" s="54"/>
      <c r="G167" s="54"/>
      <c r="H167" s="55"/>
      <c r="I167" s="55"/>
      <c r="J167" s="55"/>
      <c r="K167" s="55"/>
      <c r="L167" s="55"/>
      <c r="M167" s="70"/>
      <c r="N167" s="71"/>
      <c r="O167" s="71"/>
      <c r="P167" s="70"/>
      <c r="S167" s="54"/>
      <c r="T167" s="54"/>
    </row>
    <row r="168" spans="3:20" x14ac:dyDescent="0.2">
      <c r="C168" s="9"/>
      <c r="D168" s="61"/>
      <c r="F168" s="54"/>
      <c r="G168" s="54"/>
      <c r="H168" s="55"/>
      <c r="I168" s="55"/>
      <c r="J168" s="55"/>
      <c r="K168" s="55"/>
      <c r="L168" s="55"/>
      <c r="M168" s="70"/>
      <c r="N168" s="71"/>
      <c r="O168" s="71"/>
      <c r="P168" s="70"/>
      <c r="S168" s="54"/>
      <c r="T168" s="54"/>
    </row>
    <row r="169" spans="3:20" x14ac:dyDescent="0.2">
      <c r="C169" s="9"/>
      <c r="D169" s="61"/>
      <c r="F169" s="54"/>
      <c r="G169" s="54"/>
      <c r="H169" s="55"/>
      <c r="I169" s="55"/>
      <c r="J169" s="55"/>
      <c r="K169" s="55"/>
      <c r="L169" s="55"/>
      <c r="M169" s="70"/>
      <c r="N169" s="71"/>
      <c r="O169" s="71"/>
      <c r="P169" s="70"/>
      <c r="S169" s="54"/>
      <c r="T169" s="54"/>
    </row>
    <row r="170" spans="3:20" x14ac:dyDescent="0.2">
      <c r="C170" s="9"/>
      <c r="D170" s="61"/>
      <c r="F170" s="54"/>
      <c r="G170" s="54"/>
      <c r="H170" s="55"/>
      <c r="I170" s="55"/>
      <c r="J170" s="55"/>
      <c r="K170" s="55"/>
      <c r="L170" s="55"/>
      <c r="M170" s="70"/>
      <c r="N170" s="71"/>
      <c r="O170" s="71"/>
      <c r="P170" s="70"/>
      <c r="S170" s="54"/>
      <c r="T170" s="54"/>
    </row>
    <row r="171" spans="3:20" x14ac:dyDescent="0.2">
      <c r="C171" s="9"/>
      <c r="D171" s="61"/>
      <c r="H171" s="55"/>
      <c r="I171" s="55"/>
      <c r="J171" s="55"/>
      <c r="K171" s="55"/>
      <c r="L171" s="55"/>
      <c r="M171" s="70"/>
      <c r="N171" s="71"/>
      <c r="O171" s="71"/>
      <c r="P171" s="70"/>
      <c r="S171" s="54"/>
      <c r="T171" s="54"/>
    </row>
    <row r="172" spans="3:20" x14ac:dyDescent="0.2">
      <c r="C172" s="9"/>
      <c r="D172" s="61"/>
      <c r="H172" s="55"/>
      <c r="I172" s="55"/>
      <c r="J172" s="55"/>
      <c r="K172" s="55"/>
      <c r="L172" s="55"/>
      <c r="M172" s="70"/>
      <c r="N172" s="71"/>
      <c r="O172" s="71"/>
      <c r="P172" s="70"/>
      <c r="S172" s="54"/>
      <c r="T172" s="54"/>
    </row>
    <row r="173" spans="3:20" x14ac:dyDescent="0.2">
      <c r="C173" s="9"/>
      <c r="D173" s="61"/>
      <c r="H173" s="55"/>
      <c r="I173" s="55"/>
      <c r="J173" s="55"/>
      <c r="K173" s="55"/>
      <c r="L173" s="55"/>
      <c r="M173" s="70"/>
      <c r="N173" s="71"/>
      <c r="O173" s="71"/>
      <c r="P173" s="70"/>
      <c r="S173" s="54"/>
      <c r="T173" s="54"/>
    </row>
    <row r="174" spans="3:20" x14ac:dyDescent="0.2">
      <c r="C174" s="9"/>
      <c r="D174" s="61"/>
      <c r="F174" s="33"/>
      <c r="G174" s="33"/>
      <c r="H174" s="55"/>
      <c r="I174" s="55"/>
      <c r="J174" s="55"/>
      <c r="K174" s="55"/>
      <c r="L174" s="55"/>
      <c r="M174" s="70"/>
      <c r="N174" s="71"/>
      <c r="O174" s="71"/>
      <c r="P174" s="70"/>
      <c r="S174" s="54"/>
      <c r="T174" s="54"/>
    </row>
    <row r="175" spans="3:20" x14ac:dyDescent="0.2">
      <c r="C175" s="9"/>
      <c r="D175" s="61"/>
      <c r="F175" s="33"/>
      <c r="G175" s="33"/>
      <c r="H175" s="55"/>
      <c r="I175" s="55"/>
      <c r="J175" s="55"/>
      <c r="K175" s="55"/>
      <c r="L175" s="55"/>
      <c r="M175" s="70"/>
      <c r="N175" s="71"/>
      <c r="O175" s="71"/>
      <c r="P175" s="70"/>
      <c r="S175" s="54"/>
      <c r="T175" s="54"/>
    </row>
    <row r="176" spans="3:20" x14ac:dyDescent="0.2">
      <c r="C176" s="9"/>
      <c r="D176" s="61"/>
      <c r="F176" s="33"/>
      <c r="G176" s="33"/>
      <c r="H176" s="55"/>
      <c r="I176" s="55"/>
      <c r="J176" s="55"/>
      <c r="K176" s="55"/>
      <c r="L176" s="55"/>
      <c r="M176" s="70"/>
      <c r="N176" s="71"/>
      <c r="O176" s="71"/>
      <c r="P176" s="70"/>
      <c r="S176" s="54"/>
      <c r="T176" s="54"/>
    </row>
    <row r="177" spans="3:20" x14ac:dyDescent="0.2">
      <c r="C177" s="9"/>
      <c r="D177" s="61"/>
      <c r="F177" s="33"/>
      <c r="G177" s="33"/>
      <c r="H177" s="55"/>
      <c r="I177" s="55"/>
      <c r="J177" s="55"/>
      <c r="K177" s="55"/>
      <c r="L177" s="55"/>
      <c r="M177" s="70"/>
      <c r="N177" s="71"/>
      <c r="O177" s="71"/>
      <c r="P177" s="70"/>
      <c r="S177" s="54"/>
      <c r="T177" s="54"/>
    </row>
    <row r="178" spans="3:20" x14ac:dyDescent="0.2">
      <c r="C178" s="9"/>
      <c r="D178" s="61"/>
      <c r="H178" s="55"/>
      <c r="I178" s="55"/>
      <c r="J178" s="55"/>
      <c r="K178" s="55"/>
      <c r="L178" s="55"/>
      <c r="M178" s="70"/>
      <c r="N178" s="71"/>
      <c r="O178" s="71"/>
      <c r="P178" s="70"/>
      <c r="S178" s="54"/>
      <c r="T178" s="54"/>
    </row>
    <row r="179" spans="3:20" x14ac:dyDescent="0.2">
      <c r="C179" s="9"/>
      <c r="D179" s="61"/>
      <c r="H179" s="55"/>
      <c r="I179" s="55"/>
      <c r="J179" s="55"/>
      <c r="K179" s="55"/>
      <c r="L179" s="55"/>
      <c r="M179" s="70"/>
      <c r="N179" s="71"/>
      <c r="O179" s="71"/>
      <c r="P179" s="70"/>
      <c r="S179" s="54"/>
      <c r="T179" s="54"/>
    </row>
    <row r="180" spans="3:20" x14ac:dyDescent="0.2">
      <c r="C180" s="9"/>
      <c r="D180" s="61"/>
      <c r="H180" s="55"/>
      <c r="I180" s="55"/>
      <c r="J180" s="55"/>
      <c r="K180" s="55"/>
      <c r="L180" s="55"/>
      <c r="M180" s="70"/>
      <c r="N180" s="71"/>
      <c r="O180" s="71"/>
      <c r="P180" s="70"/>
      <c r="S180" s="54"/>
      <c r="T180" s="54"/>
    </row>
    <row r="181" spans="3:20" x14ac:dyDescent="0.2">
      <c r="C181" s="9"/>
      <c r="D181" s="61"/>
      <c r="H181" s="55"/>
      <c r="I181" s="55"/>
      <c r="J181" s="55"/>
      <c r="K181" s="55"/>
      <c r="L181" s="55"/>
      <c r="M181" s="70"/>
      <c r="N181" s="71"/>
      <c r="O181" s="71"/>
      <c r="P181" s="70"/>
      <c r="S181" s="54"/>
      <c r="T181" s="54"/>
    </row>
    <row r="182" spans="3:20" x14ac:dyDescent="0.2">
      <c r="C182" s="9"/>
      <c r="D182" s="61"/>
      <c r="H182" s="55"/>
      <c r="I182" s="55"/>
      <c r="J182" s="55"/>
      <c r="K182" s="55"/>
      <c r="L182" s="55"/>
      <c r="M182" s="70"/>
      <c r="N182" s="71"/>
      <c r="O182" s="71"/>
      <c r="P182" s="70"/>
      <c r="S182" s="54"/>
      <c r="T182" s="54"/>
    </row>
    <row r="183" spans="3:20" x14ac:dyDescent="0.2">
      <c r="C183" s="9"/>
      <c r="D183" s="61"/>
      <c r="H183" s="55"/>
      <c r="I183" s="55"/>
      <c r="J183" s="55"/>
      <c r="K183" s="55"/>
      <c r="L183" s="55"/>
      <c r="M183" s="70"/>
      <c r="N183" s="71"/>
      <c r="O183" s="71"/>
      <c r="P183" s="70"/>
      <c r="S183" s="54"/>
      <c r="T183" s="54"/>
    </row>
    <row r="184" spans="3:20" x14ac:dyDescent="0.2">
      <c r="C184" s="9"/>
      <c r="D184" s="33"/>
      <c r="H184" s="55"/>
      <c r="I184" s="55"/>
      <c r="J184" s="55"/>
      <c r="K184" s="55"/>
      <c r="L184" s="55"/>
      <c r="M184" s="70"/>
      <c r="N184" s="71"/>
      <c r="O184" s="71"/>
      <c r="P184" s="70"/>
      <c r="S184" s="54"/>
      <c r="T184" s="54"/>
    </row>
    <row r="185" spans="3:20" x14ac:dyDescent="0.2">
      <c r="C185" s="9"/>
      <c r="D185" s="33"/>
      <c r="H185" s="55"/>
      <c r="I185" s="55"/>
      <c r="J185" s="55"/>
      <c r="K185" s="55"/>
      <c r="L185" s="55"/>
      <c r="M185" s="70"/>
      <c r="N185" s="71"/>
      <c r="O185" s="71"/>
      <c r="P185" s="70"/>
      <c r="S185" s="54"/>
      <c r="T185" s="54"/>
    </row>
    <row r="186" spans="3:20" x14ac:dyDescent="0.2">
      <c r="C186" s="9"/>
      <c r="D186" s="33"/>
      <c r="H186" s="57"/>
      <c r="I186" s="57"/>
      <c r="J186" s="57"/>
      <c r="K186" s="57"/>
      <c r="L186" s="57"/>
      <c r="M186" s="70">
        <f>E142*$D$13</f>
        <v>1036589.964</v>
      </c>
      <c r="N186" s="71"/>
      <c r="O186" s="71"/>
      <c r="P186" s="70"/>
      <c r="S186" s="54"/>
      <c r="T186" s="54"/>
    </row>
    <row r="187" spans="3:20" x14ac:dyDescent="0.2">
      <c r="C187" s="9"/>
      <c r="D187" s="33"/>
      <c r="H187" s="57"/>
      <c r="I187" s="57"/>
      <c r="J187" s="57"/>
      <c r="K187" s="57"/>
      <c r="L187" s="57"/>
      <c r="M187" s="70">
        <f>E143*$D$14</f>
        <v>1036316.4480000001</v>
      </c>
      <c r="N187" s="70">
        <f>E142*$E$13</f>
        <v>18.828071999999999</v>
      </c>
      <c r="O187" s="70">
        <f>E142*$F$13</f>
        <v>7.0082268000000001</v>
      </c>
      <c r="P187" s="70">
        <f>M186+N187*296+O187*23</f>
        <v>1042324.2625284001</v>
      </c>
      <c r="S187" s="54"/>
      <c r="T187" s="54"/>
    </row>
    <row r="188" spans="3:20" x14ac:dyDescent="0.2">
      <c r="C188" s="9"/>
      <c r="D188" s="33"/>
      <c r="H188" s="54"/>
      <c r="I188" s="54"/>
      <c r="J188" s="54"/>
      <c r="K188" s="54"/>
      <c r="L188" s="33"/>
      <c r="M188" s="33"/>
      <c r="N188" s="70">
        <f>E143*$E$14</f>
        <v>18.823104000000001</v>
      </c>
      <c r="O188" s="70">
        <f>E143*$F$14</f>
        <v>7.0063776000000013</v>
      </c>
      <c r="P188" s="70">
        <f>M187+N188*296+O188*23</f>
        <v>1042049.2334688001</v>
      </c>
      <c r="S188" s="54"/>
      <c r="T188" s="54"/>
    </row>
    <row r="189" spans="3:20" x14ac:dyDescent="0.2">
      <c r="C189" s="9"/>
      <c r="D189" s="33"/>
      <c r="H189" s="54"/>
      <c r="I189" s="54"/>
      <c r="J189" s="54"/>
      <c r="K189" s="54"/>
      <c r="L189" s="33"/>
      <c r="M189" s="33"/>
      <c r="N189" s="33"/>
      <c r="O189" s="33"/>
      <c r="S189" s="54"/>
      <c r="T189" s="54"/>
    </row>
    <row r="190" spans="3:20" x14ac:dyDescent="0.2">
      <c r="C190" s="9"/>
      <c r="H190" s="54"/>
      <c r="I190" s="54"/>
      <c r="J190" s="54"/>
      <c r="K190" s="54"/>
      <c r="L190" s="33"/>
      <c r="M190" s="33"/>
      <c r="N190" s="33"/>
      <c r="O190" s="61"/>
      <c r="P190"/>
      <c r="S190" s="54"/>
      <c r="T190" s="54"/>
    </row>
    <row r="191" spans="3:20" x14ac:dyDescent="0.2">
      <c r="C191" s="9"/>
      <c r="H191" s="54"/>
      <c r="I191" s="54"/>
      <c r="J191" s="54"/>
      <c r="K191" s="54"/>
      <c r="L191" s="33"/>
      <c r="M191" s="33"/>
      <c r="N191" s="33"/>
      <c r="O191" s="72"/>
      <c r="S191" s="54"/>
      <c r="T191" s="54"/>
    </row>
    <row r="192" spans="3:20" x14ac:dyDescent="0.2">
      <c r="H192" s="58"/>
      <c r="I192" s="58"/>
      <c r="J192" s="58"/>
      <c r="K192" s="58"/>
      <c r="L192" s="47"/>
      <c r="M192" s="47"/>
      <c r="N192" s="33"/>
      <c r="O192" s="33"/>
      <c r="S192" s="54"/>
      <c r="T192" s="54"/>
    </row>
    <row r="193" spans="8:20" x14ac:dyDescent="0.2">
      <c r="H193" s="58"/>
      <c r="I193" s="58"/>
      <c r="J193" s="58"/>
      <c r="K193" s="58"/>
      <c r="L193" s="47"/>
      <c r="M193" s="47"/>
      <c r="N193" s="73"/>
      <c r="O193" s="74"/>
      <c r="P193" s="47"/>
      <c r="S193" s="54"/>
      <c r="T193" s="54"/>
    </row>
    <row r="194" spans="8:20" x14ac:dyDescent="0.2">
      <c r="H194" s="58"/>
      <c r="I194" s="58"/>
      <c r="J194" s="58"/>
      <c r="K194" s="58"/>
      <c r="L194" s="47"/>
      <c r="M194" s="47"/>
      <c r="N194" s="47"/>
      <c r="O194" s="49"/>
      <c r="P194" s="33"/>
      <c r="S194" s="54"/>
      <c r="T194" s="54"/>
    </row>
    <row r="195" spans="8:20" x14ac:dyDescent="0.2">
      <c r="H195" s="58"/>
      <c r="I195" s="58"/>
      <c r="J195" s="58"/>
      <c r="K195" s="58"/>
      <c r="L195" s="47"/>
      <c r="M195" s="47"/>
      <c r="N195" s="47"/>
      <c r="O195" s="47"/>
      <c r="P195" s="33"/>
      <c r="S195" s="54"/>
      <c r="T195" s="54"/>
    </row>
    <row r="196" spans="8:20" x14ac:dyDescent="0.2">
      <c r="H196" s="58"/>
      <c r="I196" s="58"/>
      <c r="J196" s="58"/>
      <c r="K196" s="58"/>
      <c r="L196" s="47"/>
      <c r="M196" s="47"/>
      <c r="N196" s="48"/>
      <c r="O196" s="74"/>
      <c r="P196" s="33"/>
      <c r="S196" s="54"/>
      <c r="T196" s="54"/>
    </row>
    <row r="197" spans="8:20" x14ac:dyDescent="0.2">
      <c r="H197" s="58"/>
      <c r="I197" s="58"/>
      <c r="J197" s="58"/>
      <c r="K197" s="58"/>
      <c r="L197" s="47"/>
      <c r="M197" s="47"/>
      <c r="N197" s="47"/>
      <c r="O197" s="49"/>
      <c r="P197" s="33"/>
      <c r="Q197" s="21"/>
      <c r="S197" s="54"/>
      <c r="T197" s="54"/>
    </row>
    <row r="198" spans="8:20" x14ac:dyDescent="0.2">
      <c r="H198" s="58"/>
      <c r="I198" s="58"/>
      <c r="J198" s="58"/>
      <c r="K198" s="58"/>
      <c r="L198" s="47"/>
      <c r="M198" s="47"/>
      <c r="N198" s="47"/>
      <c r="O198" s="47"/>
      <c r="P198" s="33"/>
      <c r="Q198"/>
      <c r="S198" s="54"/>
      <c r="T198" s="54"/>
    </row>
    <row r="199" spans="8:20" x14ac:dyDescent="0.2">
      <c r="H199" s="58"/>
      <c r="I199" s="58"/>
      <c r="J199" s="58"/>
      <c r="K199" s="58"/>
      <c r="L199" s="47"/>
      <c r="M199" s="47"/>
      <c r="N199" s="48"/>
      <c r="O199" s="49"/>
      <c r="P199" s="33"/>
      <c r="Q199"/>
      <c r="S199" s="54"/>
      <c r="T199" s="54"/>
    </row>
    <row r="200" spans="8:20" x14ac:dyDescent="0.2">
      <c r="H200" s="54"/>
      <c r="I200" s="54"/>
      <c r="J200" s="54"/>
      <c r="K200" s="54"/>
      <c r="L200" s="36"/>
      <c r="M200" s="33"/>
      <c r="N200" s="47"/>
      <c r="O200" s="49"/>
      <c r="P200" s="33"/>
      <c r="Q200"/>
      <c r="S200" s="54"/>
      <c r="T200" s="54"/>
    </row>
    <row r="201" spans="8:20" x14ac:dyDescent="0.2">
      <c r="H201" s="54"/>
      <c r="I201" s="54"/>
      <c r="J201" s="54"/>
      <c r="K201" s="54"/>
      <c r="L201" s="33"/>
      <c r="M201" s="33"/>
      <c r="N201" s="33"/>
      <c r="O201" s="33"/>
      <c r="P201" s="33"/>
      <c r="Q201" s="47"/>
      <c r="S201" s="54"/>
      <c r="T201" s="54"/>
    </row>
    <row r="202" spans="8:20" x14ac:dyDescent="0.2">
      <c r="H202" s="54"/>
      <c r="I202" s="54"/>
      <c r="J202" s="54"/>
      <c r="K202" s="54"/>
      <c r="L202" s="33"/>
      <c r="M202" s="33"/>
      <c r="N202" s="42"/>
      <c r="O202" s="36"/>
      <c r="P202" s="33"/>
      <c r="Q202" s="47"/>
      <c r="S202" s="54"/>
      <c r="T202" s="54"/>
    </row>
    <row r="203" spans="8:20" x14ac:dyDescent="0.2">
      <c r="H203" s="54"/>
      <c r="I203" s="54"/>
      <c r="J203" s="54"/>
      <c r="K203" s="54"/>
      <c r="L203" s="33"/>
      <c r="M203" s="33"/>
      <c r="N203" s="33"/>
      <c r="O203" s="34"/>
      <c r="Q203" s="47"/>
      <c r="S203" s="54"/>
      <c r="T203" s="54"/>
    </row>
    <row r="204" spans="8:20" x14ac:dyDescent="0.2">
      <c r="L204" s="33"/>
      <c r="M204" s="33"/>
      <c r="N204" s="33"/>
      <c r="O204" s="33"/>
      <c r="Q204" s="33"/>
      <c r="S204" s="54"/>
      <c r="T204" s="54"/>
    </row>
    <row r="205" spans="8:20" x14ac:dyDescent="0.2">
      <c r="L205" s="33"/>
      <c r="M205" s="33"/>
      <c r="N205" s="42"/>
      <c r="O205" s="36"/>
      <c r="Q205" s="33"/>
      <c r="S205" s="54"/>
      <c r="T205" s="54"/>
    </row>
    <row r="206" spans="8:20" x14ac:dyDescent="0.2">
      <c r="L206" s="33"/>
      <c r="M206" s="33"/>
      <c r="N206" s="33"/>
      <c r="O206" s="34"/>
      <c r="Q206" s="33"/>
      <c r="S206" s="54"/>
      <c r="T206" s="54"/>
    </row>
    <row r="207" spans="8:20" x14ac:dyDescent="0.2">
      <c r="H207" s="33"/>
      <c r="I207" s="33"/>
      <c r="J207" s="33"/>
      <c r="K207" s="33"/>
      <c r="L207" s="33"/>
      <c r="M207" s="33"/>
      <c r="N207" s="33"/>
      <c r="O207" s="33"/>
      <c r="Q207" s="33"/>
      <c r="S207" s="54"/>
      <c r="T207" s="54"/>
    </row>
    <row r="208" spans="8:20" x14ac:dyDescent="0.2">
      <c r="H208" s="33"/>
      <c r="I208" s="33"/>
      <c r="J208" s="33"/>
      <c r="K208" s="33"/>
      <c r="L208" s="33"/>
      <c r="M208" s="33"/>
      <c r="N208" s="33"/>
      <c r="O208" s="33"/>
      <c r="Q208" s="33"/>
      <c r="S208" s="54"/>
      <c r="T208" s="54"/>
    </row>
    <row r="209" spans="8:20" x14ac:dyDescent="0.2">
      <c r="H209" s="33"/>
      <c r="I209" s="33"/>
      <c r="J209" s="33"/>
      <c r="K209" s="33"/>
      <c r="L209" s="33"/>
      <c r="M209" s="33"/>
      <c r="N209" s="33"/>
      <c r="O209" s="33"/>
      <c r="Q209" s="33"/>
      <c r="S209" s="54"/>
      <c r="T209" s="54"/>
    </row>
    <row r="210" spans="8:20" x14ac:dyDescent="0.2">
      <c r="H210" s="33"/>
      <c r="I210" s="33"/>
      <c r="J210" s="33"/>
      <c r="K210" s="33"/>
      <c r="L210" s="33"/>
      <c r="M210" s="33"/>
      <c r="N210" s="33"/>
      <c r="O210" s="33"/>
      <c r="Q210" s="33"/>
      <c r="S210" s="54"/>
      <c r="T210" s="54"/>
    </row>
    <row r="211" spans="8:20" x14ac:dyDescent="0.2">
      <c r="L211" s="33"/>
      <c r="M211" s="33"/>
      <c r="N211" s="33"/>
      <c r="O211" s="33"/>
      <c r="S211" s="54"/>
      <c r="T211" s="54"/>
    </row>
    <row r="212" spans="8:20" x14ac:dyDescent="0.2">
      <c r="L212" s="33"/>
      <c r="M212" s="33"/>
      <c r="N212" s="33"/>
      <c r="O212" s="33"/>
      <c r="S212" s="54"/>
      <c r="T212" s="54"/>
    </row>
    <row r="213" spans="8:20" x14ac:dyDescent="0.2">
      <c r="L213" s="33"/>
      <c r="M213" s="33"/>
      <c r="N213" s="33"/>
      <c r="O213" s="33"/>
      <c r="S213" s="54"/>
      <c r="T213" s="54"/>
    </row>
    <row r="214" spans="8:20" x14ac:dyDescent="0.2">
      <c r="L214" s="33"/>
      <c r="M214" s="33"/>
      <c r="N214" s="33"/>
      <c r="O214" s="33"/>
      <c r="S214" s="54"/>
      <c r="T214" s="54"/>
    </row>
    <row r="215" spans="8:20" x14ac:dyDescent="0.2">
      <c r="L215" s="33"/>
      <c r="M215" s="33"/>
      <c r="N215" s="33"/>
      <c r="O215" s="33"/>
      <c r="S215" s="54"/>
      <c r="T215" s="54"/>
    </row>
    <row r="216" spans="8:20" x14ac:dyDescent="0.2">
      <c r="L216" s="33"/>
      <c r="M216" s="33"/>
      <c r="N216" s="33"/>
      <c r="O216" s="33"/>
      <c r="S216" s="54"/>
      <c r="T216" s="54"/>
    </row>
    <row r="217" spans="8:20" x14ac:dyDescent="0.2">
      <c r="L217" s="33"/>
      <c r="M217" s="33"/>
      <c r="N217" s="33"/>
      <c r="O217" s="33"/>
      <c r="S217" s="54"/>
      <c r="T217" s="54"/>
    </row>
    <row r="218" spans="8:20" x14ac:dyDescent="0.2">
      <c r="L218" s="33"/>
      <c r="M218" s="33"/>
      <c r="N218" s="33"/>
      <c r="O218" s="33"/>
      <c r="S218" s="54"/>
      <c r="T218" s="54"/>
    </row>
    <row r="219" spans="8:20" x14ac:dyDescent="0.2">
      <c r="L219" s="33"/>
      <c r="M219" s="33"/>
      <c r="N219" s="33"/>
      <c r="O219" s="33"/>
      <c r="S219" s="54"/>
      <c r="T219" s="54"/>
    </row>
    <row r="220" spans="8:20" x14ac:dyDescent="0.2">
      <c r="L220" s="33"/>
      <c r="M220" s="33"/>
      <c r="N220" s="33"/>
      <c r="O220" s="33"/>
      <c r="S220" s="54"/>
      <c r="T220" s="54"/>
    </row>
    <row r="221" spans="8:20" x14ac:dyDescent="0.2">
      <c r="L221" s="33"/>
      <c r="M221" s="33"/>
      <c r="N221" s="33"/>
      <c r="O221" s="33"/>
    </row>
    <row r="222" spans="8:20" x14ac:dyDescent="0.2">
      <c r="L222" s="33"/>
      <c r="M222" s="33"/>
      <c r="N222" s="33"/>
      <c r="O222" s="33"/>
    </row>
    <row r="223" spans="8:20" x14ac:dyDescent="0.2">
      <c r="L223" s="33"/>
      <c r="M223" s="33"/>
      <c r="N223" s="33"/>
      <c r="O223" s="33"/>
    </row>
    <row r="224" spans="8:20" x14ac:dyDescent="0.2">
      <c r="N224" s="33"/>
      <c r="O224" s="33"/>
    </row>
  </sheetData>
  <mergeCells count="13">
    <mergeCell ref="H31:I31"/>
    <mergeCell ref="A1:J1"/>
    <mergeCell ref="H27:I27"/>
    <mergeCell ref="H28:I28"/>
    <mergeCell ref="H29:I29"/>
    <mergeCell ref="H30:I30"/>
    <mergeCell ref="K99:L99"/>
    <mergeCell ref="H65:I65"/>
    <mergeCell ref="H66:I66"/>
    <mergeCell ref="H67:I67"/>
    <mergeCell ref="H68:I68"/>
    <mergeCell ref="H69:I69"/>
    <mergeCell ref="I99:J99"/>
  </mergeCells>
  <pageMargins left="0.7" right="0.7" top="0.75" bottom="0.75" header="0.3" footer="0.3"/>
  <pageSetup scale="2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8"/>
  <sheetViews>
    <sheetView workbookViewId="0">
      <pane ySplit="19" topLeftCell="A57" activePane="bottomLeft" state="frozen"/>
      <selection pane="bottomLeft" activeCell="N76" sqref="M76:N76"/>
    </sheetView>
  </sheetViews>
  <sheetFormatPr defaultColWidth="8.85546875" defaultRowHeight="12.75" x14ac:dyDescent="0.2"/>
  <cols>
    <col min="1" max="1" width="11.5703125" style="8" customWidth="1"/>
    <col min="2" max="2" width="25" style="8" bestFit="1" customWidth="1"/>
    <col min="3" max="3" width="11.140625" style="8" customWidth="1"/>
    <col min="4" max="4" width="14.85546875" style="8" customWidth="1"/>
    <col min="5" max="5" width="15.42578125" style="8" customWidth="1"/>
    <col min="6" max="6" width="12.85546875" style="8" bestFit="1" customWidth="1"/>
    <col min="7" max="7" width="12.85546875" style="8" customWidth="1"/>
    <col min="8" max="8" width="13.42578125" style="8" customWidth="1"/>
    <col min="9" max="9" width="12.140625" style="8" bestFit="1" customWidth="1"/>
    <col min="10" max="10" width="14" style="8" bestFit="1" customWidth="1"/>
    <col min="11" max="12" width="15" style="8" bestFit="1" customWidth="1"/>
    <col min="13" max="13" width="12.85546875" style="8" bestFit="1" customWidth="1"/>
    <col min="14" max="14" width="11.140625" style="8" bestFit="1" customWidth="1"/>
    <col min="15" max="15" width="15" style="8" bestFit="1" customWidth="1"/>
    <col min="16" max="16" width="13.140625" style="8" customWidth="1"/>
    <col min="17" max="17" width="14" style="8" bestFit="1" customWidth="1"/>
    <col min="18" max="16384" width="8.85546875" style="8"/>
  </cols>
  <sheetData>
    <row r="1" spans="1:12" ht="15.75" x14ac:dyDescent="0.25">
      <c r="A1" s="142" t="s">
        <v>137</v>
      </c>
      <c r="B1" s="142"/>
      <c r="C1" s="142"/>
      <c r="D1" s="142"/>
      <c r="E1" s="142"/>
      <c r="F1" s="142"/>
      <c r="G1" s="142"/>
      <c r="H1" s="142"/>
      <c r="I1" s="142"/>
      <c r="J1" s="142"/>
      <c r="K1" s="50"/>
    </row>
    <row r="2" spans="1:12" ht="15.75" x14ac:dyDescent="0.25">
      <c r="D2" s="2"/>
    </row>
    <row r="3" spans="1:12" ht="15.75" x14ac:dyDescent="0.25">
      <c r="D3" s="2"/>
      <c r="F3" s="9" t="s">
        <v>8</v>
      </c>
      <c r="G3" s="9"/>
      <c r="H3" s="9"/>
      <c r="I3" s="9"/>
      <c r="K3" s="9" t="s">
        <v>37</v>
      </c>
      <c r="L3" s="9" t="s">
        <v>72</v>
      </c>
    </row>
    <row r="4" spans="1:12" x14ac:dyDescent="0.2">
      <c r="A4" s="6"/>
      <c r="B4" s="6"/>
      <c r="C4" s="6"/>
      <c r="D4" s="67" t="s">
        <v>3</v>
      </c>
      <c r="E4" s="67" t="s">
        <v>18</v>
      </c>
      <c r="F4" s="67" t="s">
        <v>5</v>
      </c>
      <c r="G4" s="7"/>
      <c r="H4" s="7"/>
      <c r="I4" s="7"/>
      <c r="J4" s="23" t="s">
        <v>162</v>
      </c>
      <c r="K4" s="15">
        <v>4841</v>
      </c>
      <c r="L4" s="15">
        <v>6776</v>
      </c>
    </row>
    <row r="5" spans="1:12" x14ac:dyDescent="0.2">
      <c r="A5" s="6" t="s">
        <v>0</v>
      </c>
      <c r="B5" s="6" t="s">
        <v>1</v>
      </c>
      <c r="C5" s="6"/>
      <c r="D5" s="10">
        <v>6040</v>
      </c>
      <c r="E5" s="10">
        <v>0.04</v>
      </c>
      <c r="F5" s="10">
        <v>0.05</v>
      </c>
      <c r="G5" s="7" t="s">
        <v>7</v>
      </c>
      <c r="I5" s="7"/>
      <c r="J5" s="23" t="s">
        <v>163</v>
      </c>
      <c r="K5" s="15">
        <v>1495</v>
      </c>
      <c r="L5" s="84">
        <v>1221</v>
      </c>
    </row>
    <row r="6" spans="1:12" x14ac:dyDescent="0.2">
      <c r="A6" s="6" t="s">
        <v>0</v>
      </c>
      <c r="B6" s="6" t="s">
        <v>2</v>
      </c>
      <c r="C6" s="6"/>
      <c r="D6" s="10">
        <v>6040</v>
      </c>
      <c r="E6" s="10">
        <v>3.5</v>
      </c>
      <c r="F6" s="10">
        <v>0.06</v>
      </c>
      <c r="G6" s="7" t="s">
        <v>7</v>
      </c>
      <c r="I6" s="7"/>
      <c r="J6" s="7"/>
      <c r="K6" s="7"/>
    </row>
    <row r="7" spans="1:12" x14ac:dyDescent="0.2">
      <c r="A7" s="6" t="s">
        <v>28</v>
      </c>
      <c r="B7" s="6" t="s">
        <v>19</v>
      </c>
      <c r="C7" s="6"/>
      <c r="D7" s="43">
        <f>10.21/2.0205</f>
        <v>5.0532046523137835</v>
      </c>
      <c r="E7" s="43">
        <f>0.26/1000/2.0205</f>
        <v>1.2868101954961644E-4</v>
      </c>
      <c r="F7" s="43">
        <f>0.26/1000/2.0205</f>
        <v>1.2868101954961644E-4</v>
      </c>
      <c r="G7" s="7" t="s">
        <v>29</v>
      </c>
      <c r="I7" s="7"/>
      <c r="J7" s="7"/>
      <c r="K7" s="7"/>
    </row>
    <row r="8" spans="1:12" x14ac:dyDescent="0.2">
      <c r="A8" s="6" t="s">
        <v>34</v>
      </c>
      <c r="B8" s="6" t="s">
        <v>27</v>
      </c>
      <c r="C8" s="6"/>
      <c r="D8" s="43">
        <f>(8.87*0.9+5.75*0.1)/2.0205</f>
        <v>4.2355852511754515</v>
      </c>
      <c r="E8" s="43">
        <f>0.22/1000/2.0205</f>
        <v>1.0888393961890621E-4</v>
      </c>
      <c r="F8" s="43">
        <f>0.22/1000/2.0205</f>
        <v>1.0888393961890621E-4</v>
      </c>
      <c r="G8" s="7" t="s">
        <v>29</v>
      </c>
      <c r="I8" s="7"/>
      <c r="J8" s="7"/>
      <c r="K8" s="7"/>
    </row>
    <row r="9" spans="1:12" x14ac:dyDescent="0.2">
      <c r="A9" s="6" t="s">
        <v>35</v>
      </c>
      <c r="B9" s="6" t="s">
        <v>27</v>
      </c>
      <c r="C9" s="6"/>
      <c r="D9" s="43">
        <f>(8.78*0.15+5.75*0.85)/2.0205</f>
        <v>3.0707745607522887</v>
      </c>
      <c r="E9" s="43">
        <f>0.22/1000/2.0205</f>
        <v>1.0888393961890621E-4</v>
      </c>
      <c r="F9" s="43">
        <f>0.22/1000/2.0205</f>
        <v>1.0888393961890621E-4</v>
      </c>
      <c r="G9" s="7" t="s">
        <v>29</v>
      </c>
      <c r="I9" s="7"/>
      <c r="J9" s="7"/>
      <c r="K9" s="7"/>
    </row>
    <row r="10" spans="1:12" x14ac:dyDescent="0.2">
      <c r="A10" s="6" t="s">
        <v>71</v>
      </c>
      <c r="B10" s="6" t="s">
        <v>70</v>
      </c>
      <c r="C10" s="6"/>
      <c r="D10" s="43">
        <f>8.31/2.0205</f>
        <v>4.1128433556050483</v>
      </c>
      <c r="E10" s="43">
        <f>0.11/1000/2.0205</f>
        <v>5.4441969809453104E-5</v>
      </c>
      <c r="F10" s="43">
        <f t="shared" ref="F10" si="0">7.06/1000/2.0205</f>
        <v>3.4941846077703531E-3</v>
      </c>
      <c r="G10" s="7" t="s">
        <v>29</v>
      </c>
      <c r="I10" s="7"/>
      <c r="J10" s="7"/>
      <c r="K10" s="7"/>
    </row>
    <row r="11" spans="1:12" x14ac:dyDescent="0.2">
      <c r="A11" s="6" t="s">
        <v>13</v>
      </c>
      <c r="B11" s="6" t="s">
        <v>16</v>
      </c>
      <c r="C11" s="6"/>
      <c r="D11" s="10">
        <v>120000</v>
      </c>
      <c r="E11" s="10">
        <v>94</v>
      </c>
      <c r="F11" s="10">
        <v>2.2999999999999998</v>
      </c>
      <c r="G11" s="7" t="s">
        <v>15</v>
      </c>
      <c r="I11" s="7"/>
      <c r="J11" s="7"/>
      <c r="K11" s="7"/>
    </row>
    <row r="12" spans="1:12" x14ac:dyDescent="0.2">
      <c r="A12" s="6" t="s">
        <v>14</v>
      </c>
      <c r="B12" s="6" t="s">
        <v>16</v>
      </c>
      <c r="C12" s="6"/>
      <c r="D12" s="10">
        <v>1982</v>
      </c>
      <c r="E12" s="10">
        <v>3.5999999999999997E-2</v>
      </c>
      <c r="F12" s="10">
        <v>1.34E-2</v>
      </c>
      <c r="G12" s="7" t="s">
        <v>17</v>
      </c>
      <c r="I12" s="7"/>
      <c r="J12" s="7"/>
      <c r="K12" s="7"/>
    </row>
    <row r="13" spans="1:12" x14ac:dyDescent="0.2">
      <c r="A13" s="12" t="s">
        <v>30</v>
      </c>
      <c r="B13" s="12" t="s">
        <v>16</v>
      </c>
      <c r="C13" s="12"/>
      <c r="D13" s="10">
        <f>D12*1.5</f>
        <v>2973</v>
      </c>
      <c r="E13" s="10">
        <f>E12*1.5</f>
        <v>5.3999999999999992E-2</v>
      </c>
      <c r="F13" s="10">
        <f>F12*1.5</f>
        <v>2.01E-2</v>
      </c>
      <c r="G13" s="7" t="s">
        <v>33</v>
      </c>
      <c r="I13" s="7"/>
      <c r="J13" s="7"/>
      <c r="K13" s="7"/>
    </row>
    <row r="14" spans="1:12" x14ac:dyDescent="0.2">
      <c r="A14" s="6" t="s">
        <v>31</v>
      </c>
      <c r="B14" s="6" t="s">
        <v>32</v>
      </c>
      <c r="C14" s="6"/>
      <c r="D14" s="10">
        <f>D12*1.8</f>
        <v>3567.6</v>
      </c>
      <c r="E14" s="10">
        <f>E12*1.8</f>
        <v>6.4799999999999996E-2</v>
      </c>
      <c r="F14" s="10">
        <f>F12*1.8</f>
        <v>2.4120000000000003E-2</v>
      </c>
      <c r="G14" s="7" t="s">
        <v>33</v>
      </c>
      <c r="I14" s="7"/>
      <c r="J14" s="7"/>
      <c r="K14" s="7"/>
    </row>
    <row r="16" spans="1:12" x14ac:dyDescent="0.2">
      <c r="A16" s="4" t="s">
        <v>9</v>
      </c>
    </row>
    <row r="17" spans="1:22" x14ac:dyDescent="0.2">
      <c r="A17" s="8" t="s">
        <v>3</v>
      </c>
      <c r="B17" s="8" t="s">
        <v>10</v>
      </c>
    </row>
    <row r="18" spans="1:22" x14ac:dyDescent="0.2">
      <c r="A18" s="8" t="s">
        <v>4</v>
      </c>
      <c r="B18" s="8" t="s">
        <v>11</v>
      </c>
    </row>
    <row r="19" spans="1:22" x14ac:dyDescent="0.2">
      <c r="A19" s="8" t="s">
        <v>5</v>
      </c>
      <c r="B19" s="8" t="s">
        <v>12</v>
      </c>
    </row>
    <row r="20" spans="1:22" s="85" customFormat="1" x14ac:dyDescent="0.2"/>
    <row r="21" spans="1:22" ht="13.5" thickBot="1" x14ac:dyDescent="0.25"/>
    <row r="22" spans="1:22" ht="15.75" x14ac:dyDescent="0.25">
      <c r="A22" s="2" t="s">
        <v>142</v>
      </c>
      <c r="G22" s="29"/>
      <c r="H22" s="92"/>
      <c r="I22" s="92"/>
      <c r="J22" s="92"/>
      <c r="K22" s="92"/>
      <c r="L22" s="92"/>
      <c r="M22" s="92"/>
      <c r="N22" s="92"/>
      <c r="O22" s="92"/>
      <c r="P22" s="92"/>
      <c r="Q22" s="31"/>
    </row>
    <row r="23" spans="1:22" ht="15.75" x14ac:dyDescent="0.25">
      <c r="A23" s="4"/>
      <c r="D23" s="80" t="s">
        <v>37</v>
      </c>
      <c r="E23" s="80" t="s">
        <v>72</v>
      </c>
      <c r="F23" s="54"/>
      <c r="G23" s="101"/>
      <c r="H23" s="69" t="s">
        <v>164</v>
      </c>
      <c r="I23" s="54"/>
      <c r="J23" s="54"/>
      <c r="K23" s="54"/>
      <c r="L23" s="54"/>
      <c r="M23" s="94"/>
      <c r="N23" s="33"/>
      <c r="O23" s="33"/>
      <c r="P23" s="33"/>
      <c r="Q23" s="35"/>
    </row>
    <row r="24" spans="1:22" x14ac:dyDescent="0.2">
      <c r="A24" s="28" t="s">
        <v>65</v>
      </c>
      <c r="B24" s="28"/>
      <c r="C24" s="66" t="s">
        <v>138</v>
      </c>
      <c r="D24" s="66" t="s">
        <v>20</v>
      </c>
      <c r="E24" s="67" t="s">
        <v>20</v>
      </c>
      <c r="F24" s="27"/>
      <c r="G24" s="102"/>
      <c r="H24" s="28" t="s">
        <v>65</v>
      </c>
      <c r="I24" s="6"/>
      <c r="J24" s="66" t="s">
        <v>138</v>
      </c>
      <c r="K24" s="67" t="s">
        <v>20</v>
      </c>
      <c r="L24" s="68"/>
      <c r="M24" s="68" t="s">
        <v>155</v>
      </c>
      <c r="N24" s="67" t="s">
        <v>156</v>
      </c>
      <c r="O24" s="67" t="s">
        <v>158</v>
      </c>
      <c r="P24" s="67" t="s">
        <v>157</v>
      </c>
      <c r="Q24" s="35"/>
      <c r="R24" s="27"/>
    </row>
    <row r="25" spans="1:22" x14ac:dyDescent="0.2">
      <c r="A25" s="6" t="s">
        <v>0</v>
      </c>
      <c r="B25" s="6" t="s">
        <v>1</v>
      </c>
      <c r="C25" s="51" t="s">
        <v>43</v>
      </c>
      <c r="D25" s="13">
        <v>49215</v>
      </c>
      <c r="E25" s="13">
        <v>0</v>
      </c>
      <c r="F25" s="27"/>
      <c r="G25" s="102"/>
      <c r="H25" s="81"/>
      <c r="I25" s="82"/>
      <c r="J25" s="66"/>
      <c r="K25" s="67"/>
      <c r="L25" s="68"/>
      <c r="M25" s="68"/>
      <c r="N25" s="67"/>
      <c r="O25" s="67"/>
      <c r="P25" s="67"/>
      <c r="Q25" s="35"/>
      <c r="R25" s="27"/>
    </row>
    <row r="26" spans="1:22" x14ac:dyDescent="0.2">
      <c r="A26" s="6" t="s">
        <v>0</v>
      </c>
      <c r="B26" s="6" t="s">
        <v>2</v>
      </c>
      <c r="C26" s="51" t="s">
        <v>43</v>
      </c>
      <c r="D26" s="13">
        <v>85417</v>
      </c>
      <c r="E26" s="13">
        <v>59346</v>
      </c>
      <c r="F26" s="55"/>
      <c r="G26" s="93"/>
      <c r="H26" s="86" t="s">
        <v>165</v>
      </c>
      <c r="I26" s="82"/>
      <c r="J26" s="63" t="s">
        <v>43</v>
      </c>
      <c r="K26" s="88">
        <f t="shared" ref="K26:K34" si="1">D25</f>
        <v>49215</v>
      </c>
      <c r="L26" s="87"/>
      <c r="M26" s="89">
        <f>K26*D5</f>
        <v>297258600</v>
      </c>
      <c r="N26" s="88">
        <f>K26*E5</f>
        <v>1968.6000000000001</v>
      </c>
      <c r="O26" s="88">
        <f>K26*F5</f>
        <v>2460.75</v>
      </c>
      <c r="P26" s="14">
        <f>M26+N26*296+O26*23</f>
        <v>297897902.85000002</v>
      </c>
      <c r="Q26" s="35"/>
      <c r="R26" s="19"/>
    </row>
    <row r="27" spans="1:22" x14ac:dyDescent="0.2">
      <c r="A27" s="6" t="s">
        <v>28</v>
      </c>
      <c r="B27" s="6" t="s">
        <v>19</v>
      </c>
      <c r="C27" s="51" t="s">
        <v>139</v>
      </c>
      <c r="D27" s="13">
        <v>70845</v>
      </c>
      <c r="E27" s="45">
        <v>66724.09</v>
      </c>
      <c r="F27" s="55"/>
      <c r="G27" s="93"/>
      <c r="H27" s="140" t="s">
        <v>166</v>
      </c>
      <c r="I27" s="141"/>
      <c r="J27" s="63" t="s">
        <v>43</v>
      </c>
      <c r="K27" s="45">
        <f t="shared" si="1"/>
        <v>85417</v>
      </c>
      <c r="L27" s="77"/>
      <c r="M27" s="52">
        <f>K27*$D$6</f>
        <v>515918680</v>
      </c>
      <c r="N27" s="14">
        <f>K27*$E$6</f>
        <v>298959.5</v>
      </c>
      <c r="O27" s="14">
        <f>K27*$F$6</f>
        <v>5125.0199999999995</v>
      </c>
      <c r="P27" s="14">
        <f>M27+N27*296+O27*23</f>
        <v>604528567.46000004</v>
      </c>
      <c r="Q27" s="35"/>
      <c r="R27" s="19"/>
      <c r="V27" s="17"/>
    </row>
    <row r="28" spans="1:22" x14ac:dyDescent="0.2">
      <c r="A28" s="6" t="s">
        <v>34</v>
      </c>
      <c r="B28" s="6" t="s">
        <v>27</v>
      </c>
      <c r="C28" s="51" t="s">
        <v>139</v>
      </c>
      <c r="D28" s="13">
        <v>201595</v>
      </c>
      <c r="E28" s="45">
        <v>155353.20000000001</v>
      </c>
      <c r="F28" s="55"/>
      <c r="G28" s="93"/>
      <c r="H28" s="140" t="s">
        <v>28</v>
      </c>
      <c r="I28" s="141"/>
      <c r="J28" s="63" t="s">
        <v>139</v>
      </c>
      <c r="K28" s="45">
        <f t="shared" si="1"/>
        <v>70845</v>
      </c>
      <c r="L28" s="77"/>
      <c r="M28" s="52">
        <f>K28*$D$7</f>
        <v>357994.28359317</v>
      </c>
      <c r="N28" s="14">
        <f>K28*7*20300*$E$7/1000000</f>
        <v>1.2954414105419452</v>
      </c>
      <c r="O28" s="14">
        <f>K28*7*20300*$F$7/1000000</f>
        <v>1.2954414105419452</v>
      </c>
      <c r="P28" s="14">
        <f t="shared" ref="P28:P32" si="2">M28+N28*296+O28*23</f>
        <v>358407.52940313291</v>
      </c>
      <c r="Q28" s="35"/>
      <c r="R28" s="19"/>
    </row>
    <row r="29" spans="1:22" x14ac:dyDescent="0.2">
      <c r="A29" s="6" t="s">
        <v>35</v>
      </c>
      <c r="B29" s="6" t="s">
        <v>27</v>
      </c>
      <c r="C29" s="51" t="s">
        <v>139</v>
      </c>
      <c r="D29" s="13">
        <v>78853</v>
      </c>
      <c r="E29" s="45">
        <v>110157.78</v>
      </c>
      <c r="F29" s="55"/>
      <c r="G29" s="93"/>
      <c r="H29" s="140" t="s">
        <v>34</v>
      </c>
      <c r="I29" s="141"/>
      <c r="J29" s="63" t="s">
        <v>139</v>
      </c>
      <c r="K29" s="45">
        <f t="shared" si="1"/>
        <v>201595</v>
      </c>
      <c r="L29" s="77"/>
      <c r="M29" s="52">
        <f>K29*$D$8</f>
        <v>853872.80871071515</v>
      </c>
      <c r="N29" s="14">
        <f>K29*7*20300*$E$8/1000000</f>
        <v>3.11916005444197</v>
      </c>
      <c r="O29" s="14">
        <f>K29*7*20300*$F$8/1000000</f>
        <v>3.11916005444197</v>
      </c>
      <c r="P29" s="14">
        <f t="shared" si="2"/>
        <v>854867.82076808217</v>
      </c>
      <c r="Q29" s="35"/>
      <c r="R29" s="19"/>
      <c r="V29" s="17"/>
    </row>
    <row r="30" spans="1:22" x14ac:dyDescent="0.2">
      <c r="A30" s="6" t="s">
        <v>71</v>
      </c>
      <c r="B30" s="6" t="s">
        <v>69</v>
      </c>
      <c r="C30" s="51" t="s">
        <v>139</v>
      </c>
      <c r="D30" s="13">
        <v>17400</v>
      </c>
      <c r="E30" s="83">
        <v>17500</v>
      </c>
      <c r="F30" s="55"/>
      <c r="G30" s="93"/>
      <c r="H30" s="140" t="s">
        <v>35</v>
      </c>
      <c r="I30" s="141"/>
      <c r="J30" s="63" t="s">
        <v>139</v>
      </c>
      <c r="K30" s="45">
        <f t="shared" si="1"/>
        <v>78853</v>
      </c>
      <c r="L30" s="77"/>
      <c r="M30" s="52">
        <f>K30*$D$9</f>
        <v>242139.78643900022</v>
      </c>
      <c r="N30" s="14">
        <f>K30*7*20300*$E$9/1000000</f>
        <v>1.2200457738183619</v>
      </c>
      <c r="O30" s="14">
        <f>K30*7*20300*$F$9/1000000</f>
        <v>1.2200457738183619</v>
      </c>
      <c r="P30" s="14">
        <f t="shared" si="2"/>
        <v>242528.98104084827</v>
      </c>
      <c r="Q30" s="35"/>
      <c r="R30" s="19"/>
    </row>
    <row r="31" spans="1:22" x14ac:dyDescent="0.2">
      <c r="A31" s="6" t="s">
        <v>13</v>
      </c>
      <c r="B31" s="6" t="s">
        <v>73</v>
      </c>
      <c r="C31" s="51" t="s">
        <v>140</v>
      </c>
      <c r="D31" s="13">
        <v>20223600</v>
      </c>
      <c r="E31" s="45">
        <f>10854720+28589000</f>
        <v>39443720</v>
      </c>
      <c r="F31" s="55"/>
      <c r="G31" s="93"/>
      <c r="H31" s="140" t="s">
        <v>144</v>
      </c>
      <c r="I31" s="141"/>
      <c r="J31" s="63" t="s">
        <v>139</v>
      </c>
      <c r="K31" s="45">
        <f t="shared" si="1"/>
        <v>17400</v>
      </c>
      <c r="L31" s="77"/>
      <c r="M31" s="52">
        <f>K31*D10</f>
        <v>71563.474387527836</v>
      </c>
      <c r="N31" s="14">
        <f>K31*E10</f>
        <v>0.94729027468448401</v>
      </c>
      <c r="O31" s="14">
        <f>K31*7*20300*$F$10/1000000</f>
        <v>8.6395112100965079</v>
      </c>
      <c r="P31" s="14">
        <f t="shared" si="2"/>
        <v>72042.581066666666</v>
      </c>
      <c r="Q31" s="35"/>
      <c r="R31" s="19"/>
    </row>
    <row r="32" spans="1:22" x14ac:dyDescent="0.2">
      <c r="A32" s="6" t="s">
        <v>13</v>
      </c>
      <c r="B32" s="6" t="s">
        <v>48</v>
      </c>
      <c r="C32" s="51" t="s">
        <v>140</v>
      </c>
      <c r="D32" s="13">
        <v>0</v>
      </c>
      <c r="E32" s="13">
        <v>1352318000</v>
      </c>
      <c r="F32" s="55"/>
      <c r="G32" s="93"/>
      <c r="H32" s="45" t="s">
        <v>145</v>
      </c>
      <c r="I32" s="45"/>
      <c r="J32" s="63" t="s">
        <v>140</v>
      </c>
      <c r="K32" s="45">
        <f t="shared" si="1"/>
        <v>20223600</v>
      </c>
      <c r="L32" s="77"/>
      <c r="M32" s="52">
        <f>K32*$D$11/1000000</f>
        <v>2426832</v>
      </c>
      <c r="N32" s="14">
        <f>K32*$E$11/1000000</f>
        <v>1901.0183999999999</v>
      </c>
      <c r="O32" s="14">
        <f>K32*$F$11/1000000</f>
        <v>46.514279999999999</v>
      </c>
      <c r="P32" s="14">
        <f t="shared" si="2"/>
        <v>2990603.2748399996</v>
      </c>
      <c r="Q32" s="35"/>
    </row>
    <row r="33" spans="1:18" x14ac:dyDescent="0.2">
      <c r="A33" s="6" t="s">
        <v>13</v>
      </c>
      <c r="B33" s="6" t="s">
        <v>161</v>
      </c>
      <c r="C33" s="51" t="s">
        <v>140</v>
      </c>
      <c r="D33" s="13">
        <v>43722000</v>
      </c>
      <c r="E33" s="13">
        <v>129435056</v>
      </c>
      <c r="F33" s="55"/>
      <c r="G33" s="93"/>
      <c r="H33" s="45" t="s">
        <v>146</v>
      </c>
      <c r="I33" s="45"/>
      <c r="J33" s="63" t="s">
        <v>140</v>
      </c>
      <c r="K33" s="45">
        <f t="shared" si="1"/>
        <v>0</v>
      </c>
      <c r="L33" s="77"/>
      <c r="M33" s="52">
        <f t="shared" ref="M33:M35" si="3">K33*$D$11/1000000</f>
        <v>0</v>
      </c>
      <c r="N33" s="14">
        <f t="shared" ref="N33:N35" si="4">K33*$E$11/1000000</f>
        <v>0</v>
      </c>
      <c r="O33" s="14">
        <f t="shared" ref="O33:O35" si="5">K33*$F$11/1000000</f>
        <v>0</v>
      </c>
      <c r="P33" s="14">
        <f t="shared" ref="P33:P35" si="6">M33+N33*296+O33*23</f>
        <v>0</v>
      </c>
      <c r="Q33" s="35"/>
      <c r="R33" s="9"/>
    </row>
    <row r="34" spans="1:18" x14ac:dyDescent="0.2">
      <c r="A34" s="6" t="s">
        <v>13</v>
      </c>
      <c r="B34" s="6" t="s">
        <v>74</v>
      </c>
      <c r="C34" s="51" t="s">
        <v>140</v>
      </c>
      <c r="D34" s="83">
        <v>7500</v>
      </c>
      <c r="E34" s="45">
        <v>7300</v>
      </c>
      <c r="F34" s="55"/>
      <c r="G34" s="93"/>
      <c r="H34" s="45" t="s">
        <v>152</v>
      </c>
      <c r="I34" s="45"/>
      <c r="J34" s="63" t="s">
        <v>140</v>
      </c>
      <c r="K34" s="45">
        <f t="shared" si="1"/>
        <v>43722000</v>
      </c>
      <c r="L34" s="77"/>
      <c r="M34" s="52">
        <f t="shared" si="3"/>
        <v>5246640</v>
      </c>
      <c r="N34" s="14">
        <f t="shared" si="4"/>
        <v>4109.8680000000004</v>
      </c>
      <c r="O34" s="14">
        <f t="shared" si="5"/>
        <v>100.56059999999998</v>
      </c>
      <c r="P34" s="14">
        <f t="shared" si="6"/>
        <v>6465473.8218</v>
      </c>
      <c r="Q34" s="35"/>
      <c r="R34" s="9"/>
    </row>
    <row r="35" spans="1:18" x14ac:dyDescent="0.2">
      <c r="A35" s="6" t="s">
        <v>13</v>
      </c>
      <c r="B35" s="6" t="s">
        <v>75</v>
      </c>
      <c r="C35" s="51" t="s">
        <v>140</v>
      </c>
      <c r="D35" s="13">
        <v>10833800</v>
      </c>
      <c r="E35" s="13">
        <v>15099700</v>
      </c>
      <c r="F35" s="55"/>
      <c r="G35" s="93"/>
      <c r="H35" s="45" t="s">
        <v>147</v>
      </c>
      <c r="I35" s="45"/>
      <c r="J35" s="63" t="s">
        <v>140</v>
      </c>
      <c r="K35" s="45">
        <f>SUM(D34:D79)</f>
        <v>105736116.96280992</v>
      </c>
      <c r="L35" s="77"/>
      <c r="M35" s="52">
        <f t="shared" si="3"/>
        <v>12688334.035537191</v>
      </c>
      <c r="N35" s="14">
        <f t="shared" si="4"/>
        <v>9939.1949945041324</v>
      </c>
      <c r="O35" s="14">
        <f t="shared" si="5"/>
        <v>243.19306901446279</v>
      </c>
      <c r="P35" s="14">
        <f t="shared" si="6"/>
        <v>15635929.194497747</v>
      </c>
      <c r="Q35" s="35"/>
      <c r="R35" s="9"/>
    </row>
    <row r="36" spans="1:18" x14ac:dyDescent="0.2">
      <c r="A36" s="6" t="s">
        <v>13</v>
      </c>
      <c r="B36" s="6" t="s">
        <v>77</v>
      </c>
      <c r="C36" s="51" t="s">
        <v>140</v>
      </c>
      <c r="D36" s="13">
        <v>1062100</v>
      </c>
      <c r="E36" s="13">
        <v>2442000</v>
      </c>
      <c r="F36" s="55"/>
      <c r="G36" s="93"/>
      <c r="H36" s="55"/>
      <c r="I36" s="55"/>
      <c r="J36" s="62"/>
      <c r="K36" s="55"/>
      <c r="L36" s="55"/>
      <c r="M36" s="70"/>
      <c r="N36" s="71"/>
      <c r="O36" s="71"/>
      <c r="P36" s="70"/>
      <c r="Q36" s="35"/>
      <c r="R36" s="9"/>
    </row>
    <row r="37" spans="1:18" x14ac:dyDescent="0.2">
      <c r="A37" s="6" t="s">
        <v>13</v>
      </c>
      <c r="B37" s="122" t="s">
        <v>79</v>
      </c>
      <c r="C37" s="51" t="s">
        <v>140</v>
      </c>
      <c r="D37" s="83">
        <f>E37/$L$4*$K$4</f>
        <v>2679124.8524203068</v>
      </c>
      <c r="E37" s="13">
        <v>3750000</v>
      </c>
      <c r="F37" s="55"/>
      <c r="G37" s="93"/>
      <c r="H37" s="55"/>
      <c r="I37" s="55"/>
      <c r="J37" s="62"/>
      <c r="K37" s="104">
        <f>SUM(P37:P38)/2000</f>
        <v>463759.23830056889</v>
      </c>
      <c r="L37" s="55"/>
      <c r="M37" s="70"/>
      <c r="N37" s="71"/>
      <c r="O37" s="75" t="s">
        <v>167</v>
      </c>
      <c r="P37" s="70">
        <f>P26+P27</f>
        <v>902426470.31000006</v>
      </c>
      <c r="Q37" s="35"/>
      <c r="R37" s="9"/>
    </row>
    <row r="38" spans="1:18" x14ac:dyDescent="0.2">
      <c r="A38" s="6" t="s">
        <v>13</v>
      </c>
      <c r="B38" s="6" t="s">
        <v>80</v>
      </c>
      <c r="C38" s="51" t="s">
        <v>140</v>
      </c>
      <c r="D38" s="45">
        <v>0</v>
      </c>
      <c r="E38" s="13">
        <v>1501000</v>
      </c>
      <c r="F38" s="55"/>
      <c r="G38" s="93"/>
      <c r="H38" s="55"/>
      <c r="I38" s="55"/>
      <c r="J38" s="62"/>
      <c r="K38" s="55"/>
      <c r="L38" s="55"/>
      <c r="M38" s="70"/>
      <c r="N38" s="71"/>
      <c r="O38" s="75" t="s">
        <v>168</v>
      </c>
      <c r="P38" s="70">
        <f>SUM(P32:P35)</f>
        <v>25092006.291137747</v>
      </c>
      <c r="Q38" s="35"/>
      <c r="R38" s="9"/>
    </row>
    <row r="39" spans="1:18" x14ac:dyDescent="0.2">
      <c r="A39" s="6" t="s">
        <v>13</v>
      </c>
      <c r="B39" s="6" t="s">
        <v>81</v>
      </c>
      <c r="C39" s="51" t="s">
        <v>140</v>
      </c>
      <c r="D39" s="13">
        <v>3366200</v>
      </c>
      <c r="E39" s="13">
        <v>5304000</v>
      </c>
      <c r="F39" s="55"/>
      <c r="G39" s="93"/>
      <c r="H39" s="55"/>
      <c r="I39" s="55"/>
      <c r="J39" s="62"/>
      <c r="K39" s="55"/>
      <c r="L39" s="55"/>
      <c r="M39" s="70"/>
      <c r="N39" s="71"/>
      <c r="O39" s="75" t="s">
        <v>169</v>
      </c>
      <c r="P39" s="90">
        <f>SUM(P28:P31)</f>
        <v>1527846.91227873</v>
      </c>
      <c r="Q39" s="35"/>
      <c r="R39" s="9"/>
    </row>
    <row r="40" spans="1:18" x14ac:dyDescent="0.2">
      <c r="A40" s="6" t="s">
        <v>13</v>
      </c>
      <c r="B40" s="6" t="s">
        <v>82</v>
      </c>
      <c r="C40" s="51" t="s">
        <v>140</v>
      </c>
      <c r="D40" s="13">
        <v>2153000</v>
      </c>
      <c r="E40" s="13">
        <v>1287200</v>
      </c>
      <c r="F40" s="55"/>
      <c r="G40" s="93"/>
      <c r="H40" s="55"/>
      <c r="I40" s="55"/>
      <c r="J40" s="62"/>
      <c r="K40" s="55"/>
      <c r="L40" s="55"/>
      <c r="M40" s="70"/>
      <c r="N40" s="71"/>
      <c r="O40" s="75"/>
      <c r="P40" s="70">
        <f>SUM(P37:P39)</f>
        <v>929046323.51341653</v>
      </c>
      <c r="Q40" s="95" t="s">
        <v>52</v>
      </c>
      <c r="R40" s="9"/>
    </row>
    <row r="41" spans="1:18" x14ac:dyDescent="0.2">
      <c r="A41" s="6" t="s">
        <v>13</v>
      </c>
      <c r="B41" s="122" t="s">
        <v>87</v>
      </c>
      <c r="C41" s="51" t="s">
        <v>140</v>
      </c>
      <c r="D41" s="83">
        <f>E41/$L$4*$K$4</f>
        <v>416300.28040141676</v>
      </c>
      <c r="E41" s="13">
        <v>582700</v>
      </c>
      <c r="F41" s="55"/>
      <c r="G41" s="93"/>
      <c r="H41" s="55"/>
      <c r="I41" s="55"/>
      <c r="J41" s="62"/>
      <c r="K41" s="55"/>
      <c r="L41" s="55"/>
      <c r="M41" s="70"/>
      <c r="N41" s="71"/>
      <c r="O41" s="75"/>
      <c r="P41" s="70"/>
      <c r="Q41" s="35"/>
      <c r="R41" s="9"/>
    </row>
    <row r="42" spans="1:18" x14ac:dyDescent="0.2">
      <c r="A42" s="6" t="s">
        <v>13</v>
      </c>
      <c r="B42" s="6" t="s">
        <v>83</v>
      </c>
      <c r="C42" s="51" t="s">
        <v>140</v>
      </c>
      <c r="D42" s="13">
        <v>0</v>
      </c>
      <c r="E42" s="13">
        <v>9979000</v>
      </c>
      <c r="F42" s="55"/>
      <c r="G42" s="93"/>
      <c r="H42" s="55"/>
      <c r="I42" s="55"/>
      <c r="J42" s="62"/>
      <c r="K42" s="55"/>
      <c r="L42" s="55"/>
      <c r="M42" s="70"/>
      <c r="N42" s="71"/>
      <c r="O42" s="75"/>
      <c r="P42" s="71">
        <f>P40/2000</f>
        <v>464523.16175670829</v>
      </c>
      <c r="Q42" s="35" t="s">
        <v>43</v>
      </c>
      <c r="R42" s="9"/>
    </row>
    <row r="43" spans="1:18" x14ac:dyDescent="0.2">
      <c r="A43" s="6" t="s">
        <v>13</v>
      </c>
      <c r="B43" s="122" t="s">
        <v>84</v>
      </c>
      <c r="C43" s="51" t="s">
        <v>140</v>
      </c>
      <c r="D43" s="83">
        <f t="shared" ref="D43:D44" si="7">E43/$L$4*$K$4</f>
        <v>3839364.5218417947</v>
      </c>
      <c r="E43" s="13">
        <v>5374000</v>
      </c>
      <c r="F43" s="55"/>
      <c r="G43" s="93"/>
      <c r="H43" s="55"/>
      <c r="I43" s="55"/>
      <c r="J43" s="55"/>
      <c r="K43" s="55"/>
      <c r="L43" s="55"/>
      <c r="M43" s="70"/>
      <c r="N43" s="71"/>
      <c r="O43" s="71"/>
      <c r="P43" s="70"/>
      <c r="Q43" s="35"/>
      <c r="R43" s="9"/>
    </row>
    <row r="44" spans="1:18" x14ac:dyDescent="0.2">
      <c r="A44" s="6" t="s">
        <v>13</v>
      </c>
      <c r="B44" s="122" t="s">
        <v>85</v>
      </c>
      <c r="C44" s="51" t="s">
        <v>140</v>
      </c>
      <c r="D44" s="83">
        <f t="shared" si="7"/>
        <v>798736.42266824085</v>
      </c>
      <c r="E44" s="13">
        <v>1118000</v>
      </c>
      <c r="F44" s="55"/>
      <c r="G44" s="93"/>
      <c r="H44" s="64" t="s">
        <v>66</v>
      </c>
      <c r="I44" s="64"/>
      <c r="J44" s="65" t="s">
        <v>138</v>
      </c>
      <c r="K44" s="64" t="s">
        <v>20</v>
      </c>
      <c r="L44" s="78"/>
      <c r="M44" s="68" t="s">
        <v>155</v>
      </c>
      <c r="N44" s="67" t="s">
        <v>156</v>
      </c>
      <c r="O44" s="67" t="s">
        <v>158</v>
      </c>
      <c r="P44" s="67" t="s">
        <v>157</v>
      </c>
      <c r="Q44" s="35"/>
      <c r="R44" s="9"/>
    </row>
    <row r="45" spans="1:18" x14ac:dyDescent="0.2">
      <c r="A45" s="6" t="s">
        <v>13</v>
      </c>
      <c r="B45" s="6" t="s">
        <v>86</v>
      </c>
      <c r="C45" s="51" t="s">
        <v>140</v>
      </c>
      <c r="D45" s="13">
        <v>409700</v>
      </c>
      <c r="E45" s="13">
        <v>611750</v>
      </c>
      <c r="F45" s="55"/>
      <c r="G45" s="93"/>
      <c r="H45" s="45" t="s">
        <v>150</v>
      </c>
      <c r="I45" s="45"/>
      <c r="J45" s="63" t="s">
        <v>148</v>
      </c>
      <c r="K45" s="45">
        <f>D83/1000</f>
        <v>28575</v>
      </c>
      <c r="L45" s="77"/>
      <c r="M45" s="52">
        <f>K45*$D$12</f>
        <v>56635650</v>
      </c>
      <c r="N45" s="14">
        <f>K45*$E$12</f>
        <v>1028.6999999999998</v>
      </c>
      <c r="O45" s="14">
        <f>K45*$F$12</f>
        <v>382.90500000000003</v>
      </c>
      <c r="P45" s="14">
        <f t="shared" ref="P45:P49" si="8">M45+N45*296+O45*23</f>
        <v>56948952.015000001</v>
      </c>
      <c r="Q45" s="35"/>
      <c r="R45" s="9"/>
    </row>
    <row r="46" spans="1:18" x14ac:dyDescent="0.2">
      <c r="A46" s="6" t="s">
        <v>13</v>
      </c>
      <c r="B46" s="6" t="s">
        <v>88</v>
      </c>
      <c r="C46" s="51" t="s">
        <v>140</v>
      </c>
      <c r="D46" s="83">
        <v>168890</v>
      </c>
      <c r="E46" s="13">
        <v>168890</v>
      </c>
      <c r="F46" s="55"/>
      <c r="G46" s="93"/>
      <c r="H46" s="45" t="s">
        <v>149</v>
      </c>
      <c r="I46" s="45"/>
      <c r="J46" s="63" t="s">
        <v>148</v>
      </c>
      <c r="K46" s="76">
        <f>D84/1000</f>
        <v>20709.172999999999</v>
      </c>
      <c r="L46" s="77"/>
      <c r="M46" s="52">
        <f>K46*$D$12</f>
        <v>41045580.886</v>
      </c>
      <c r="N46" s="14">
        <f>K46*$E$12</f>
        <v>745.53022799999985</v>
      </c>
      <c r="O46" s="14">
        <f>K46*$F$12</f>
        <v>277.50291820000001</v>
      </c>
      <c r="P46" s="14">
        <f t="shared" si="8"/>
        <v>41272640.400606602</v>
      </c>
      <c r="Q46" s="35"/>
      <c r="R46" s="9"/>
    </row>
    <row r="47" spans="1:18" x14ac:dyDescent="0.2">
      <c r="A47" s="6" t="s">
        <v>13</v>
      </c>
      <c r="B47" s="6" t="s">
        <v>89</v>
      </c>
      <c r="C47" s="51" t="s">
        <v>140</v>
      </c>
      <c r="D47" s="13">
        <v>10357400</v>
      </c>
      <c r="E47" s="13">
        <v>7934000</v>
      </c>
      <c r="F47" s="55"/>
      <c r="G47" s="93"/>
      <c r="H47" s="45" t="s">
        <v>151</v>
      </c>
      <c r="I47" s="45"/>
      <c r="J47" s="63" t="s">
        <v>148</v>
      </c>
      <c r="K47" s="76">
        <f>SUM(D85:D124)/1000</f>
        <v>27515.812461097459</v>
      </c>
      <c r="L47" s="79"/>
      <c r="M47" s="52">
        <f>K47*$D$12</f>
        <v>54536340.297895163</v>
      </c>
      <c r="N47" s="14">
        <f>K47*$E$12</f>
        <v>990.56924859950846</v>
      </c>
      <c r="O47" s="14">
        <f>K47*$F$12</f>
        <v>368.71188697870599</v>
      </c>
      <c r="P47" s="14">
        <f t="shared" si="8"/>
        <v>54838029.168881126</v>
      </c>
      <c r="Q47" s="35"/>
      <c r="R47" s="9"/>
    </row>
    <row r="48" spans="1:18" x14ac:dyDescent="0.2">
      <c r="A48" s="6" t="s">
        <v>13</v>
      </c>
      <c r="B48" s="122" t="s">
        <v>90</v>
      </c>
      <c r="C48" s="51" t="s">
        <v>140</v>
      </c>
      <c r="D48" s="83">
        <f t="shared" ref="D48" si="9">E48/$L$4*$K$4</f>
        <v>44723.524203069661</v>
      </c>
      <c r="E48" s="45">
        <v>62600</v>
      </c>
      <c r="F48" s="55"/>
      <c r="G48" s="93"/>
      <c r="H48" s="45" t="s">
        <v>153</v>
      </c>
      <c r="I48" s="45"/>
      <c r="J48" s="63" t="s">
        <v>143</v>
      </c>
      <c r="K48" s="45">
        <f>D126</f>
        <v>340.7</v>
      </c>
      <c r="L48" s="77"/>
      <c r="M48" s="52">
        <f>K48*D13</f>
        <v>1012901.1</v>
      </c>
      <c r="N48" s="18">
        <f>K48*E13</f>
        <v>18.397799999999997</v>
      </c>
      <c r="O48" s="18">
        <f>K48*F13</f>
        <v>6.8480699999999999</v>
      </c>
      <c r="P48" s="14">
        <f t="shared" si="8"/>
        <v>1018504.3544099999</v>
      </c>
      <c r="Q48" s="35"/>
      <c r="R48" s="9"/>
    </row>
    <row r="49" spans="1:18" x14ac:dyDescent="0.2">
      <c r="A49" s="6" t="s">
        <v>13</v>
      </c>
      <c r="B49" s="6" t="s">
        <v>91</v>
      </c>
      <c r="C49" s="51" t="s">
        <v>140</v>
      </c>
      <c r="D49" s="83">
        <v>137900</v>
      </c>
      <c r="E49" s="13">
        <v>137900</v>
      </c>
      <c r="F49" s="55"/>
      <c r="G49" s="93"/>
      <c r="H49" s="45" t="s">
        <v>154</v>
      </c>
      <c r="I49" s="45"/>
      <c r="J49" s="63" t="s">
        <v>143</v>
      </c>
      <c r="K49" s="45">
        <f>D127</f>
        <v>315.60000000000002</v>
      </c>
      <c r="L49" s="45"/>
      <c r="M49" s="18">
        <f>K49*D14</f>
        <v>1125934.56</v>
      </c>
      <c r="N49" s="18">
        <f>K49*E14</f>
        <v>20.450880000000002</v>
      </c>
      <c r="O49" s="18">
        <f>K49*F14</f>
        <v>7.6122720000000017</v>
      </c>
      <c r="P49" s="14">
        <f t="shared" si="8"/>
        <v>1132163.102736</v>
      </c>
      <c r="Q49" s="35"/>
      <c r="R49" s="9"/>
    </row>
    <row r="50" spans="1:18" x14ac:dyDescent="0.2">
      <c r="A50" s="6" t="s">
        <v>13</v>
      </c>
      <c r="B50" s="6" t="s">
        <v>92</v>
      </c>
      <c r="C50" s="51" t="s">
        <v>140</v>
      </c>
      <c r="D50" s="83">
        <v>1612000</v>
      </c>
      <c r="E50" s="13">
        <v>1612000</v>
      </c>
      <c r="F50" s="55"/>
      <c r="G50" s="93"/>
      <c r="H50" s="55"/>
      <c r="I50" s="55"/>
      <c r="J50" s="55"/>
      <c r="K50" s="55"/>
      <c r="L50" s="55"/>
      <c r="M50" s="70"/>
      <c r="N50" s="71"/>
      <c r="O50" s="71"/>
      <c r="P50" s="70"/>
      <c r="Q50" s="35"/>
      <c r="R50" s="9"/>
    </row>
    <row r="51" spans="1:18" x14ac:dyDescent="0.2">
      <c r="A51" s="6" t="s">
        <v>13</v>
      </c>
      <c r="B51" s="6" t="s">
        <v>93</v>
      </c>
      <c r="C51" s="51" t="s">
        <v>140</v>
      </c>
      <c r="D51" s="83">
        <v>15000</v>
      </c>
      <c r="E51" s="45">
        <v>14800</v>
      </c>
      <c r="F51" s="55"/>
      <c r="G51" s="93"/>
      <c r="H51" s="55"/>
      <c r="I51" s="55"/>
      <c r="J51" s="55"/>
      <c r="K51" s="55"/>
      <c r="L51" s="55"/>
      <c r="M51" s="70"/>
      <c r="N51" s="71"/>
      <c r="O51" s="75" t="s">
        <v>68</v>
      </c>
      <c r="P51" s="70">
        <f>SUM(P45:P49)</f>
        <v>155210289.04163373</v>
      </c>
      <c r="Q51" s="35" t="s">
        <v>52</v>
      </c>
      <c r="R51" s="9"/>
    </row>
    <row r="52" spans="1:18" x14ac:dyDescent="0.2">
      <c r="A52" s="6" t="s">
        <v>13</v>
      </c>
      <c r="B52" s="6" t="s">
        <v>94</v>
      </c>
      <c r="C52" s="51" t="s">
        <v>140</v>
      </c>
      <c r="D52" s="13">
        <v>0</v>
      </c>
      <c r="E52" s="13">
        <v>248500</v>
      </c>
      <c r="F52" s="55"/>
      <c r="G52" s="93"/>
      <c r="H52" s="55"/>
      <c r="I52" s="55"/>
      <c r="J52" s="55"/>
      <c r="K52" s="55"/>
      <c r="L52" s="55"/>
      <c r="M52" s="70"/>
      <c r="N52" s="71"/>
      <c r="O52" s="75"/>
      <c r="P52" s="70"/>
      <c r="Q52" s="35"/>
      <c r="R52" s="9"/>
    </row>
    <row r="53" spans="1:18" x14ac:dyDescent="0.2">
      <c r="A53" s="6" t="s">
        <v>13</v>
      </c>
      <c r="B53" s="6" t="s">
        <v>95</v>
      </c>
      <c r="C53" s="51" t="s">
        <v>140</v>
      </c>
      <c r="D53" s="13">
        <v>0</v>
      </c>
      <c r="E53" s="13">
        <v>2827100</v>
      </c>
      <c r="F53" s="55"/>
      <c r="G53" s="93"/>
      <c r="H53" s="55"/>
      <c r="I53" s="55"/>
      <c r="J53" s="55"/>
      <c r="K53" s="55"/>
      <c r="L53" s="55"/>
      <c r="M53" s="70"/>
      <c r="N53" s="71"/>
      <c r="O53" s="71"/>
      <c r="P53" s="70">
        <f>P51/2000</f>
        <v>77605.144520816859</v>
      </c>
      <c r="Q53" s="35" t="s">
        <v>43</v>
      </c>
      <c r="R53" s="9"/>
    </row>
    <row r="54" spans="1:18" x14ac:dyDescent="0.2">
      <c r="A54" s="6" t="s">
        <v>13</v>
      </c>
      <c r="B54" s="122" t="s">
        <v>96</v>
      </c>
      <c r="C54" s="51" t="s">
        <v>140</v>
      </c>
      <c r="D54" s="83">
        <f t="shared" ref="D54:D55" si="10">E54/$L$4*$K$4</f>
        <v>91518.904958677682</v>
      </c>
      <c r="E54" s="13">
        <v>128100</v>
      </c>
      <c r="F54" s="55"/>
      <c r="G54" s="93"/>
      <c r="H54" s="55"/>
      <c r="I54" s="55"/>
      <c r="J54" s="55"/>
      <c r="K54" s="55"/>
      <c r="L54" s="55"/>
      <c r="M54" s="70"/>
      <c r="N54" s="71"/>
      <c r="O54" s="71"/>
      <c r="P54" s="70"/>
      <c r="Q54" s="35"/>
      <c r="R54" s="9"/>
    </row>
    <row r="55" spans="1:18" x14ac:dyDescent="0.2">
      <c r="A55" s="6" t="s">
        <v>13</v>
      </c>
      <c r="B55" s="122" t="s">
        <v>97</v>
      </c>
      <c r="C55" s="51" t="s">
        <v>140</v>
      </c>
      <c r="D55" s="83">
        <f t="shared" si="10"/>
        <v>25567852.951593861</v>
      </c>
      <c r="E55" s="13">
        <v>35787600</v>
      </c>
      <c r="F55" s="55"/>
      <c r="G55" s="93"/>
      <c r="H55" s="55"/>
      <c r="I55" s="55"/>
      <c r="J55" s="55"/>
      <c r="K55" s="55"/>
      <c r="L55" s="55"/>
      <c r="M55" s="70"/>
      <c r="N55" s="71"/>
      <c r="O55" s="75" t="s">
        <v>159</v>
      </c>
      <c r="P55" s="70">
        <f>P42+P53</f>
        <v>542128.30627752515</v>
      </c>
      <c r="Q55" s="35" t="s">
        <v>43</v>
      </c>
      <c r="R55" s="9"/>
    </row>
    <row r="56" spans="1:18" ht="13.5" thickBot="1" x14ac:dyDescent="0.25">
      <c r="A56" s="6" t="s">
        <v>13</v>
      </c>
      <c r="B56" s="6" t="s">
        <v>98</v>
      </c>
      <c r="C56" s="51" t="s">
        <v>140</v>
      </c>
      <c r="D56" s="13">
        <v>402600</v>
      </c>
      <c r="E56" s="13">
        <v>796800</v>
      </c>
      <c r="F56" s="55"/>
      <c r="G56" s="97"/>
      <c r="H56" s="98"/>
      <c r="I56" s="98"/>
      <c r="J56" s="98"/>
      <c r="K56" s="98"/>
      <c r="L56" s="98"/>
      <c r="M56" s="99"/>
      <c r="N56" s="100"/>
      <c r="O56" s="103"/>
      <c r="P56" s="99"/>
      <c r="Q56" s="40"/>
      <c r="R56" s="9"/>
    </row>
    <row r="57" spans="1:18" ht="13.5" thickBot="1" x14ac:dyDescent="0.25">
      <c r="A57" s="6" t="s">
        <v>13</v>
      </c>
      <c r="B57" s="6" t="s">
        <v>99</v>
      </c>
      <c r="C57" s="51" t="s">
        <v>140</v>
      </c>
      <c r="D57" s="13">
        <v>297000</v>
      </c>
      <c r="E57" s="13">
        <v>495100</v>
      </c>
      <c r="F57" s="55"/>
      <c r="G57" s="55"/>
      <c r="R57" s="9"/>
    </row>
    <row r="58" spans="1:18" x14ac:dyDescent="0.2">
      <c r="A58" s="6" t="s">
        <v>13</v>
      </c>
      <c r="B58" s="6" t="s">
        <v>100</v>
      </c>
      <c r="C58" s="51" t="s">
        <v>140</v>
      </c>
      <c r="D58" s="13">
        <v>172800</v>
      </c>
      <c r="E58" s="13">
        <v>235800</v>
      </c>
      <c r="F58" s="55"/>
      <c r="G58" s="91"/>
      <c r="H58" s="92"/>
      <c r="I58" s="92"/>
      <c r="J58" s="92"/>
      <c r="K58" s="92"/>
      <c r="L58" s="92"/>
      <c r="M58" s="92"/>
      <c r="N58" s="92"/>
      <c r="O58" s="92"/>
      <c r="P58" s="92"/>
      <c r="Q58" s="31"/>
      <c r="R58" s="9"/>
    </row>
    <row r="59" spans="1:18" ht="15.75" x14ac:dyDescent="0.25">
      <c r="A59" s="6" t="s">
        <v>13</v>
      </c>
      <c r="B59" s="122" t="s">
        <v>101</v>
      </c>
      <c r="C59" s="51" t="s">
        <v>140</v>
      </c>
      <c r="D59" s="83">
        <f t="shared" ref="D59" si="11">E59/$L$4*$K$4</f>
        <v>367290.15643447463</v>
      </c>
      <c r="E59" s="45">
        <v>514100</v>
      </c>
      <c r="F59" s="55"/>
      <c r="G59" s="93"/>
      <c r="H59" s="69" t="s">
        <v>160</v>
      </c>
      <c r="I59" s="54"/>
      <c r="J59" s="54"/>
      <c r="K59" s="54"/>
      <c r="L59" s="54"/>
      <c r="M59" s="94"/>
      <c r="N59" s="33"/>
      <c r="O59" s="33"/>
      <c r="P59" s="33"/>
      <c r="Q59" s="35"/>
      <c r="R59" s="9"/>
    </row>
    <row r="60" spans="1:18" x14ac:dyDescent="0.2">
      <c r="A60" s="6" t="s">
        <v>13</v>
      </c>
      <c r="B60" s="6" t="s">
        <v>102</v>
      </c>
      <c r="C60" s="51" t="s">
        <v>140</v>
      </c>
      <c r="D60" s="13">
        <v>4847200</v>
      </c>
      <c r="E60" s="13">
        <v>3948100</v>
      </c>
      <c r="F60" s="55"/>
      <c r="G60" s="93"/>
      <c r="H60" s="28" t="s">
        <v>65</v>
      </c>
      <c r="I60" s="6"/>
      <c r="J60" s="66" t="s">
        <v>138</v>
      </c>
      <c r="K60" s="67" t="s">
        <v>20</v>
      </c>
      <c r="L60" s="68"/>
      <c r="M60" s="68" t="s">
        <v>155</v>
      </c>
      <c r="N60" s="67" t="s">
        <v>156</v>
      </c>
      <c r="O60" s="67" t="s">
        <v>158</v>
      </c>
      <c r="P60" s="67" t="s">
        <v>157</v>
      </c>
      <c r="Q60" s="35"/>
      <c r="R60" s="9"/>
    </row>
    <row r="61" spans="1:18" x14ac:dyDescent="0.2">
      <c r="A61" s="6" t="s">
        <v>13</v>
      </c>
      <c r="B61" s="6" t="s">
        <v>103</v>
      </c>
      <c r="C61" s="51" t="s">
        <v>140</v>
      </c>
      <c r="D61" s="13">
        <v>0</v>
      </c>
      <c r="E61" s="13">
        <v>152700</v>
      </c>
      <c r="F61" s="55"/>
      <c r="G61" s="93"/>
      <c r="H61" s="81"/>
      <c r="I61" s="82"/>
      <c r="J61" s="66"/>
      <c r="K61" s="67"/>
      <c r="L61" s="68"/>
      <c r="M61" s="68"/>
      <c r="N61" s="67"/>
      <c r="O61" s="67"/>
      <c r="P61" s="67"/>
      <c r="Q61" s="35"/>
      <c r="R61" s="9"/>
    </row>
    <row r="62" spans="1:18" x14ac:dyDescent="0.2">
      <c r="A62" s="6" t="s">
        <v>13</v>
      </c>
      <c r="B62" s="122" t="s">
        <v>104</v>
      </c>
      <c r="C62" s="51" t="s">
        <v>140</v>
      </c>
      <c r="D62" s="83">
        <f t="shared" ref="D62" si="12">E62/$L$4*$K$4</f>
        <v>5672214.5602125144</v>
      </c>
      <c r="E62" s="13">
        <v>7939460</v>
      </c>
      <c r="F62" s="55"/>
      <c r="G62" s="93"/>
      <c r="H62" s="140" t="s">
        <v>0</v>
      </c>
      <c r="I62" s="141"/>
      <c r="J62" s="63" t="s">
        <v>43</v>
      </c>
      <c r="K62" s="45">
        <f t="shared" ref="K62:K69" si="13">E26</f>
        <v>59346</v>
      </c>
      <c r="L62" s="77"/>
      <c r="M62" s="52">
        <f>K62*$D$6</f>
        <v>358449840</v>
      </c>
      <c r="N62" s="14">
        <f>K62*$E$6</f>
        <v>207711</v>
      </c>
      <c r="O62" s="14">
        <f>K62*$F$6</f>
        <v>3560.7599999999998</v>
      </c>
      <c r="P62" s="14">
        <f>M62+N62*296+O62*23</f>
        <v>420014193.48000002</v>
      </c>
      <c r="Q62" s="35"/>
      <c r="R62" s="9"/>
    </row>
    <row r="63" spans="1:18" x14ac:dyDescent="0.2">
      <c r="A63" s="6" t="s">
        <v>13</v>
      </c>
      <c r="B63" s="6" t="s">
        <v>105</v>
      </c>
      <c r="C63" s="51" t="s">
        <v>140</v>
      </c>
      <c r="D63" s="45">
        <v>1597200</v>
      </c>
      <c r="E63" s="13">
        <f>(276.76+352.24)*100</f>
        <v>62900</v>
      </c>
      <c r="F63" s="55"/>
      <c r="G63" s="93"/>
      <c r="H63" s="140" t="s">
        <v>28</v>
      </c>
      <c r="I63" s="141"/>
      <c r="J63" s="63" t="s">
        <v>139</v>
      </c>
      <c r="K63" s="45">
        <f t="shared" si="13"/>
        <v>66724.09</v>
      </c>
      <c r="L63" s="77"/>
      <c r="M63" s="52">
        <f>K63*$D$7</f>
        <v>337170.48200940358</v>
      </c>
      <c r="N63" s="14">
        <f>K63*7*20300*$E$7/1000000</f>
        <v>1.2200882104132642</v>
      </c>
      <c r="O63" s="14">
        <f>K63*7*20300*$F$7/1000000</f>
        <v>1.2200882104132642</v>
      </c>
      <c r="P63" s="14">
        <f t="shared" ref="P63:P64" si="14">M63+N63*296+O63*23</f>
        <v>337559.69014852541</v>
      </c>
      <c r="Q63" s="35"/>
      <c r="R63" s="9"/>
    </row>
    <row r="64" spans="1:18" x14ac:dyDescent="0.2">
      <c r="A64" s="6" t="s">
        <v>13</v>
      </c>
      <c r="B64" s="6" t="s">
        <v>106</v>
      </c>
      <c r="C64" s="51" t="s">
        <v>140</v>
      </c>
      <c r="D64" s="83">
        <v>166800</v>
      </c>
      <c r="E64" s="13">
        <v>166800</v>
      </c>
      <c r="F64" s="55"/>
      <c r="G64" s="93"/>
      <c r="H64" s="140" t="s">
        <v>34</v>
      </c>
      <c r="I64" s="141"/>
      <c r="J64" s="63" t="s">
        <v>139</v>
      </c>
      <c r="K64" s="45">
        <f t="shared" si="13"/>
        <v>155353.20000000001</v>
      </c>
      <c r="L64" s="77"/>
      <c r="M64" s="52">
        <f>K64*$D$8</f>
        <v>658011.7226429102</v>
      </c>
      <c r="N64" s="14">
        <f>K64*7*20300*$E$8/1000000</f>
        <v>2.403688066518189</v>
      </c>
      <c r="O64" s="14">
        <f>K64*7*20300*$F$8/1000000</f>
        <v>2.403688066518189</v>
      </c>
      <c r="P64" s="14">
        <f t="shared" si="14"/>
        <v>658778.49913612951</v>
      </c>
      <c r="Q64" s="35"/>
      <c r="R64" s="9"/>
    </row>
    <row r="65" spans="1:18" x14ac:dyDescent="0.2">
      <c r="A65" s="6" t="s">
        <v>13</v>
      </c>
      <c r="B65" s="122" t="s">
        <v>107</v>
      </c>
      <c r="C65" s="51" t="s">
        <v>140</v>
      </c>
      <c r="D65" s="83">
        <f t="shared" ref="D65:D66" si="15">E65/$L$4*$K$4</f>
        <v>5691647.1458087368</v>
      </c>
      <c r="E65" s="13">
        <v>7966660</v>
      </c>
      <c r="F65" s="55"/>
      <c r="G65" s="93"/>
      <c r="H65" s="140" t="s">
        <v>35</v>
      </c>
      <c r="I65" s="141"/>
      <c r="J65" s="63" t="s">
        <v>139</v>
      </c>
      <c r="K65" s="45">
        <f t="shared" si="13"/>
        <v>110157.78</v>
      </c>
      <c r="L65" s="77"/>
      <c r="M65" s="52">
        <f>K65*$D$9</f>
        <v>338269.70849294728</v>
      </c>
      <c r="N65" s="14">
        <f>K65*7*20300*$E$9/1000000</f>
        <v>1.7044060966889383</v>
      </c>
      <c r="O65" s="14">
        <f>K65*7*20300*$F$9/1000000</f>
        <v>1.7044060966889383</v>
      </c>
      <c r="P65" s="14">
        <f t="shared" ref="P65:P70" si="16">M65+N65*296+O65*23</f>
        <v>338813.41403779102</v>
      </c>
      <c r="Q65" s="35"/>
      <c r="R65" s="9"/>
    </row>
    <row r="66" spans="1:18" x14ac:dyDescent="0.2">
      <c r="A66" s="6" t="s">
        <v>13</v>
      </c>
      <c r="B66" s="122" t="s">
        <v>108</v>
      </c>
      <c r="C66" s="51" t="s">
        <v>140</v>
      </c>
      <c r="D66" s="83">
        <f t="shared" si="15"/>
        <v>3211934.914403778</v>
      </c>
      <c r="E66" s="13">
        <v>4495780</v>
      </c>
      <c r="F66" s="55"/>
      <c r="G66" s="93"/>
      <c r="H66" s="140" t="s">
        <v>144</v>
      </c>
      <c r="I66" s="141"/>
      <c r="J66" s="63" t="s">
        <v>139</v>
      </c>
      <c r="K66" s="45">
        <f t="shared" si="13"/>
        <v>17500</v>
      </c>
      <c r="L66" s="77"/>
      <c r="M66" s="53">
        <f>K66*D10</f>
        <v>71974.758723088351</v>
      </c>
      <c r="N66" s="14">
        <f>K66*E10</f>
        <v>0.95273447166542935</v>
      </c>
      <c r="O66" s="14">
        <f>K66*7*20300*$F$10/1000000</f>
        <v>8.6891635733729267</v>
      </c>
      <c r="P66" s="14">
        <f t="shared" si="16"/>
        <v>72456.618888888901</v>
      </c>
      <c r="Q66" s="35"/>
      <c r="R66" s="9"/>
    </row>
    <row r="67" spans="1:18" x14ac:dyDescent="0.2">
      <c r="A67" s="6" t="s">
        <v>13</v>
      </c>
      <c r="B67" s="6" t="s">
        <v>109</v>
      </c>
      <c r="C67" s="51" t="s">
        <v>140</v>
      </c>
      <c r="D67" s="13">
        <v>2783400</v>
      </c>
      <c r="E67" s="13">
        <v>3286700</v>
      </c>
      <c r="F67" s="55"/>
      <c r="G67" s="93"/>
      <c r="H67" s="45" t="s">
        <v>145</v>
      </c>
      <c r="I67" s="45"/>
      <c r="J67" s="63" t="s">
        <v>140</v>
      </c>
      <c r="K67" s="45">
        <f t="shared" si="13"/>
        <v>39443720</v>
      </c>
      <c r="L67" s="77"/>
      <c r="M67" s="52">
        <f>K67*$D$11/1000000</f>
        <v>4733246.4000000004</v>
      </c>
      <c r="N67" s="14">
        <f>K67*$E$11/1000000</f>
        <v>3707.7096799999999</v>
      </c>
      <c r="O67" s="14">
        <f>K67*$F$11/1000000</f>
        <v>90.720556000000002</v>
      </c>
      <c r="P67" s="14">
        <f t="shared" si="16"/>
        <v>5832815.0380680002</v>
      </c>
      <c r="Q67" s="35"/>
      <c r="R67" s="9"/>
    </row>
    <row r="68" spans="1:18" x14ac:dyDescent="0.2">
      <c r="A68" s="6" t="s">
        <v>13</v>
      </c>
      <c r="B68" s="6" t="s">
        <v>110</v>
      </c>
      <c r="C68" s="51" t="s">
        <v>140</v>
      </c>
      <c r="D68" s="13">
        <v>104000</v>
      </c>
      <c r="E68" s="13">
        <v>160900</v>
      </c>
      <c r="F68" s="55"/>
      <c r="G68" s="93"/>
      <c r="H68" s="45" t="s">
        <v>146</v>
      </c>
      <c r="I68" s="45"/>
      <c r="J68" s="63" t="s">
        <v>140</v>
      </c>
      <c r="K68" s="45">
        <f t="shared" si="13"/>
        <v>1352318000</v>
      </c>
      <c r="L68" s="77"/>
      <c r="M68" s="52">
        <f>K68*$D$11/1000000</f>
        <v>162278160</v>
      </c>
      <c r="N68" s="14">
        <f>K68*$E$11/1000000</f>
        <v>127117.89200000001</v>
      </c>
      <c r="O68" s="14">
        <f>K68*$F$11/1000000</f>
        <v>3110.3313999999996</v>
      </c>
      <c r="P68" s="14">
        <f t="shared" si="16"/>
        <v>199976593.65420002</v>
      </c>
      <c r="Q68" s="35"/>
      <c r="R68" s="9"/>
    </row>
    <row r="69" spans="1:18" x14ac:dyDescent="0.2">
      <c r="A69" s="6" t="s">
        <v>13</v>
      </c>
      <c r="B69" s="6" t="s">
        <v>111</v>
      </c>
      <c r="C69" s="51" t="s">
        <v>140</v>
      </c>
      <c r="D69" s="13">
        <v>2563500</v>
      </c>
      <c r="E69" s="13">
        <v>2184500</v>
      </c>
      <c r="F69" s="55"/>
      <c r="G69" s="93"/>
      <c r="H69" s="45" t="s">
        <v>152</v>
      </c>
      <c r="I69" s="45"/>
      <c r="J69" s="63" t="s">
        <v>140</v>
      </c>
      <c r="K69" s="45">
        <f t="shared" si="13"/>
        <v>129435056</v>
      </c>
      <c r="L69" s="77"/>
      <c r="M69" s="52">
        <f>K69*$D$11/1000000</f>
        <v>15532206.720000001</v>
      </c>
      <c r="N69" s="18">
        <f>K69*$E$11/1000000</f>
        <v>12166.895264000001</v>
      </c>
      <c r="O69" s="14">
        <f>K69*$F$11/1000000</f>
        <v>297.70062879999995</v>
      </c>
      <c r="P69" s="14">
        <f t="shared" si="16"/>
        <v>19140454.832606401</v>
      </c>
      <c r="Q69" s="35"/>
      <c r="R69" s="9"/>
    </row>
    <row r="70" spans="1:18" x14ac:dyDescent="0.2">
      <c r="A70" s="6" t="s">
        <v>13</v>
      </c>
      <c r="B70" s="6" t="s">
        <v>112</v>
      </c>
      <c r="C70" s="51" t="s">
        <v>140</v>
      </c>
      <c r="D70" s="13">
        <v>164100</v>
      </c>
      <c r="E70" s="13">
        <v>234900</v>
      </c>
      <c r="F70" s="55"/>
      <c r="G70" s="93"/>
      <c r="H70" s="45" t="s">
        <v>147</v>
      </c>
      <c r="I70" s="45"/>
      <c r="J70" s="63" t="s">
        <v>140</v>
      </c>
      <c r="K70" s="45">
        <f>SUM(E34:E79)</f>
        <v>146871240</v>
      </c>
      <c r="L70" s="77"/>
      <c r="M70" s="52">
        <f>K70*$D$11/1000000</f>
        <v>17624548.800000001</v>
      </c>
      <c r="N70" s="14">
        <f>K70*$E$11/1000000</f>
        <v>13805.896559999999</v>
      </c>
      <c r="O70" s="14">
        <f>K70*$F$11/1000000</f>
        <v>337.80385200000001</v>
      </c>
      <c r="P70" s="14">
        <f t="shared" si="16"/>
        <v>21718863.670356002</v>
      </c>
      <c r="Q70" s="35"/>
      <c r="R70" s="9"/>
    </row>
    <row r="71" spans="1:18" x14ac:dyDescent="0.2">
      <c r="A71" s="6" t="s">
        <v>13</v>
      </c>
      <c r="B71" s="6" t="s">
        <v>113</v>
      </c>
      <c r="C71" s="51" t="s">
        <v>140</v>
      </c>
      <c r="D71" s="13">
        <v>590200</v>
      </c>
      <c r="E71" s="13">
        <f>(1004.6+4018.4)*100</f>
        <v>502300</v>
      </c>
      <c r="F71" s="55"/>
      <c r="G71" s="93"/>
      <c r="H71" s="55"/>
      <c r="I71" s="55"/>
      <c r="J71" s="62"/>
      <c r="K71" s="55"/>
      <c r="L71" s="55"/>
      <c r="M71" s="70"/>
      <c r="N71" s="71"/>
      <c r="O71" s="71"/>
      <c r="P71" s="70"/>
      <c r="Q71" s="35"/>
      <c r="R71" s="9"/>
    </row>
    <row r="72" spans="1:18" x14ac:dyDescent="0.2">
      <c r="A72" s="6" t="s">
        <v>13</v>
      </c>
      <c r="B72" s="6" t="s">
        <v>114</v>
      </c>
      <c r="C72" s="51" t="s">
        <v>140</v>
      </c>
      <c r="D72" s="13">
        <v>4497700</v>
      </c>
      <c r="E72" s="13">
        <v>4912900</v>
      </c>
      <c r="F72" s="55"/>
      <c r="G72" s="93"/>
      <c r="H72" s="55"/>
      <c r="I72" s="55"/>
      <c r="J72" s="62"/>
      <c r="K72" s="104">
        <f>SUM(P72:P73)/2000</f>
        <v>333341.46033761522</v>
      </c>
      <c r="L72" s="55"/>
      <c r="M72" s="70"/>
      <c r="N72" s="33"/>
      <c r="O72" s="75" t="s">
        <v>167</v>
      </c>
      <c r="P72" s="70">
        <f>P62</f>
        <v>420014193.48000002</v>
      </c>
      <c r="Q72" s="35" t="s">
        <v>52</v>
      </c>
      <c r="R72" s="9"/>
    </row>
    <row r="73" spans="1:18" x14ac:dyDescent="0.2">
      <c r="A73" s="6" t="s">
        <v>13</v>
      </c>
      <c r="B73" s="122" t="s">
        <v>115</v>
      </c>
      <c r="C73" s="51" t="s">
        <v>140</v>
      </c>
      <c r="D73" s="83">
        <v>242264.32998819364</v>
      </c>
      <c r="E73" s="45">
        <v>339100</v>
      </c>
      <c r="F73" s="55"/>
      <c r="G73" s="93"/>
      <c r="H73" s="55"/>
      <c r="I73" s="55"/>
      <c r="J73" s="62"/>
      <c r="K73" s="104"/>
      <c r="L73" s="55"/>
      <c r="M73" s="70"/>
      <c r="N73" s="71"/>
      <c r="O73" s="75" t="s">
        <v>168</v>
      </c>
      <c r="P73" s="70">
        <f>SUM(P67:P70)</f>
        <v>246668727.19523042</v>
      </c>
      <c r="Q73" s="35" t="s">
        <v>52</v>
      </c>
      <c r="R73" s="9"/>
    </row>
    <row r="74" spans="1:18" x14ac:dyDescent="0.2">
      <c r="A74" s="6" t="s">
        <v>13</v>
      </c>
      <c r="B74" s="122" t="s">
        <v>116</v>
      </c>
      <c r="C74" s="51" t="s">
        <v>140</v>
      </c>
      <c r="D74" s="83">
        <v>348000.45749704842</v>
      </c>
      <c r="E74" s="45">
        <v>487100</v>
      </c>
      <c r="F74" s="55"/>
      <c r="G74" s="93"/>
      <c r="H74" s="55"/>
      <c r="I74" s="55"/>
      <c r="J74" s="62"/>
      <c r="K74" s="55"/>
      <c r="L74" s="55"/>
      <c r="M74" s="70"/>
      <c r="N74" s="71"/>
      <c r="O74" s="75" t="s">
        <v>169</v>
      </c>
      <c r="P74" s="90">
        <f>SUM(P63:P66)</f>
        <v>1407608.2222113349</v>
      </c>
      <c r="Q74" s="35" t="s">
        <v>52</v>
      </c>
      <c r="R74" s="9"/>
    </row>
    <row r="75" spans="1:18" x14ac:dyDescent="0.2">
      <c r="A75" s="6" t="s">
        <v>13</v>
      </c>
      <c r="B75" s="122" t="s">
        <v>117</v>
      </c>
      <c r="C75" s="51" t="s">
        <v>140</v>
      </c>
      <c r="D75" s="83">
        <v>629058.51534828811</v>
      </c>
      <c r="E75" s="45">
        <v>880500</v>
      </c>
      <c r="F75" s="55"/>
      <c r="G75" s="93"/>
      <c r="H75" s="55"/>
      <c r="I75" s="55"/>
      <c r="J75" s="62"/>
      <c r="K75" s="55"/>
      <c r="L75" s="55"/>
      <c r="M75" s="70"/>
      <c r="N75" s="71"/>
      <c r="O75" s="75"/>
      <c r="P75" s="70">
        <f>SUM(P72:P74)</f>
        <v>668090528.89744186</v>
      </c>
      <c r="Q75" s="95" t="s">
        <v>52</v>
      </c>
      <c r="R75" s="9"/>
    </row>
    <row r="76" spans="1:18" x14ac:dyDescent="0.2">
      <c r="A76" s="6" t="s">
        <v>13</v>
      </c>
      <c r="B76" s="122" t="s">
        <v>118</v>
      </c>
      <c r="C76" s="51" t="s">
        <v>140</v>
      </c>
      <c r="D76" s="83">
        <v>561187.352420307</v>
      </c>
      <c r="E76" s="45">
        <v>785500</v>
      </c>
      <c r="F76" s="55"/>
      <c r="G76" s="93"/>
      <c r="H76" s="55"/>
      <c r="I76" s="55"/>
      <c r="J76" s="62"/>
      <c r="K76" s="55"/>
      <c r="L76" s="55"/>
      <c r="M76" s="130">
        <f>+N76/2000</f>
        <v>182.25783721042268</v>
      </c>
      <c r="N76" s="71">
        <f>SUM(N62:N70)</f>
        <v>364515.67442084535</v>
      </c>
      <c r="O76" s="75"/>
      <c r="P76" s="70"/>
      <c r="Q76" s="35"/>
      <c r="R76" s="9"/>
    </row>
    <row r="77" spans="1:18" x14ac:dyDescent="0.2">
      <c r="A77" s="6" t="s">
        <v>13</v>
      </c>
      <c r="B77" s="122" t="s">
        <v>119</v>
      </c>
      <c r="C77" s="51" t="s">
        <v>140</v>
      </c>
      <c r="D77" s="83">
        <f t="shared" ref="D77" si="17">E77/$L$4*$K$4</f>
        <v>7093108.0726092085</v>
      </c>
      <c r="E77" s="45">
        <v>9928300</v>
      </c>
      <c r="F77" s="55"/>
      <c r="G77" s="93"/>
      <c r="H77" s="55"/>
      <c r="I77" s="55"/>
      <c r="J77" s="62"/>
      <c r="K77" s="55"/>
      <c r="L77" s="55"/>
      <c r="M77" s="70"/>
      <c r="N77" s="71"/>
      <c r="O77" s="75"/>
      <c r="P77" s="36">
        <f>P75/2000</f>
        <v>334045.2644487209</v>
      </c>
      <c r="Q77" s="35" t="s">
        <v>43</v>
      </c>
      <c r="R77" s="9"/>
    </row>
    <row r="78" spans="1:18" x14ac:dyDescent="0.2">
      <c r="A78" s="6" t="s">
        <v>13</v>
      </c>
      <c r="B78" s="6" t="s">
        <v>120</v>
      </c>
      <c r="C78" s="51" t="s">
        <v>140</v>
      </c>
      <c r="D78" s="13">
        <v>171800</v>
      </c>
      <c r="E78" s="13">
        <v>167200</v>
      </c>
      <c r="F78" s="55"/>
      <c r="G78" s="93"/>
      <c r="H78" s="55"/>
      <c r="I78" s="55"/>
      <c r="J78" s="62"/>
      <c r="K78" s="55"/>
      <c r="L78" s="55"/>
      <c r="M78" s="70"/>
      <c r="N78" s="71"/>
      <c r="O78" s="75"/>
      <c r="P78" s="70"/>
      <c r="Q78" s="35"/>
      <c r="R78" s="9"/>
    </row>
    <row r="79" spans="1:18" x14ac:dyDescent="0.2">
      <c r="A79" s="6" t="s">
        <v>13</v>
      </c>
      <c r="B79" s="6" t="s">
        <v>121</v>
      </c>
      <c r="C79" s="51" t="s">
        <v>140</v>
      </c>
      <c r="D79" s="13">
        <v>0</v>
      </c>
      <c r="E79" s="13">
        <v>249000</v>
      </c>
      <c r="F79" s="55"/>
      <c r="G79" s="93"/>
      <c r="H79" s="55"/>
      <c r="I79" s="55"/>
      <c r="J79" s="55"/>
      <c r="K79" s="55"/>
      <c r="L79" s="55"/>
      <c r="M79" s="70"/>
      <c r="N79" s="71"/>
      <c r="O79" s="71"/>
      <c r="P79" s="70"/>
      <c r="Q79" s="35"/>
      <c r="R79" s="9"/>
    </row>
    <row r="80" spans="1:18" x14ac:dyDescent="0.2">
      <c r="A80" s="6"/>
      <c r="B80" s="6"/>
      <c r="C80" s="51"/>
      <c r="D80" s="13"/>
      <c r="E80" s="13"/>
      <c r="F80" s="55"/>
      <c r="G80" s="93"/>
      <c r="H80" s="64" t="s">
        <v>66</v>
      </c>
      <c r="I80" s="64"/>
      <c r="J80" s="65" t="s">
        <v>138</v>
      </c>
      <c r="K80" s="64" t="s">
        <v>20</v>
      </c>
      <c r="L80" s="78"/>
      <c r="M80" s="68" t="s">
        <v>155</v>
      </c>
      <c r="N80" s="67" t="s">
        <v>156</v>
      </c>
      <c r="O80" s="67" t="s">
        <v>158</v>
      </c>
      <c r="P80" s="67" t="s">
        <v>157</v>
      </c>
      <c r="Q80" s="35"/>
      <c r="R80" s="9"/>
    </row>
    <row r="81" spans="1:18" x14ac:dyDescent="0.2">
      <c r="A81" s="6"/>
      <c r="B81" s="6"/>
      <c r="C81" s="51"/>
      <c r="D81" s="13"/>
      <c r="E81" s="5"/>
      <c r="F81" s="55"/>
      <c r="G81" s="93"/>
      <c r="H81" s="45" t="s">
        <v>150</v>
      </c>
      <c r="I81" s="45"/>
      <c r="J81" s="63" t="s">
        <v>148</v>
      </c>
      <c r="K81" s="45">
        <f>E83/1000</f>
        <v>48359.8</v>
      </c>
      <c r="L81" s="77"/>
      <c r="M81" s="52">
        <f>K81*$D$12</f>
        <v>95849123.600000009</v>
      </c>
      <c r="N81" s="14">
        <f>K81*$E$12</f>
        <v>1740.9528</v>
      </c>
      <c r="O81" s="14">
        <f>K81*$F$12</f>
        <v>648.02132000000006</v>
      </c>
      <c r="P81" s="14">
        <f t="shared" ref="P81:P85" si="18">M81+N81*296+O81*23</f>
        <v>96379350.119160011</v>
      </c>
      <c r="Q81" s="35"/>
      <c r="R81" s="9"/>
    </row>
    <row r="82" spans="1:18" x14ac:dyDescent="0.2">
      <c r="A82" s="28" t="s">
        <v>66</v>
      </c>
      <c r="B82" s="6"/>
      <c r="C82" s="51"/>
      <c r="D82" s="13"/>
      <c r="E82" s="5"/>
      <c r="F82" s="55"/>
      <c r="G82" s="93"/>
      <c r="H82" s="45" t="s">
        <v>149</v>
      </c>
      <c r="I82" s="45"/>
      <c r="J82" s="63" t="s">
        <v>148</v>
      </c>
      <c r="K82" s="45">
        <f>E84/1000</f>
        <v>21240.988000000001</v>
      </c>
      <c r="L82" s="77"/>
      <c r="M82" s="52">
        <f>K82*$D$12</f>
        <v>42099638.216000006</v>
      </c>
      <c r="N82" s="14">
        <f>K82*$E$12</f>
        <v>764.675568</v>
      </c>
      <c r="O82" s="14">
        <f>K82*$F$12</f>
        <v>284.62923920000003</v>
      </c>
      <c r="P82" s="14">
        <f t="shared" si="18"/>
        <v>42332528.656629607</v>
      </c>
      <c r="Q82" s="35"/>
      <c r="R82" s="9"/>
    </row>
    <row r="83" spans="1:18" x14ac:dyDescent="0.2">
      <c r="A83" s="6" t="s">
        <v>14</v>
      </c>
      <c r="B83" s="3" t="s">
        <v>50</v>
      </c>
      <c r="C83" s="59" t="s">
        <v>141</v>
      </c>
      <c r="D83" s="13">
        <v>28575000</v>
      </c>
      <c r="E83" s="13">
        <v>48359800</v>
      </c>
      <c r="F83" s="55"/>
      <c r="G83" s="93"/>
      <c r="H83" s="45" t="s">
        <v>151</v>
      </c>
      <c r="I83" s="45"/>
      <c r="J83" s="63" t="s">
        <v>148</v>
      </c>
      <c r="K83" s="76">
        <f>SUM(E85:E124)/1000</f>
        <v>32344.204000000002</v>
      </c>
      <c r="L83" s="79"/>
      <c r="M83" s="52">
        <f>K83*$D$12</f>
        <v>64106212.328000002</v>
      </c>
      <c r="N83" s="14">
        <f>K83*$E$12</f>
        <v>1164.3913439999999</v>
      </c>
      <c r="O83" s="14">
        <f>K83*$F$12</f>
        <v>433.41233360000001</v>
      </c>
      <c r="P83" s="14">
        <f t="shared" si="18"/>
        <v>64460840.649496801</v>
      </c>
      <c r="Q83" s="35"/>
      <c r="R83" s="9"/>
    </row>
    <row r="84" spans="1:18" x14ac:dyDescent="0.2">
      <c r="A84" s="6" t="s">
        <v>14</v>
      </c>
      <c r="B84" s="3" t="s">
        <v>51</v>
      </c>
      <c r="C84" s="59" t="s">
        <v>141</v>
      </c>
      <c r="D84" s="13">
        <v>20709173</v>
      </c>
      <c r="E84" s="13">
        <v>21240988</v>
      </c>
      <c r="F84" s="55"/>
      <c r="G84" s="93"/>
      <c r="H84" s="45" t="s">
        <v>153</v>
      </c>
      <c r="I84" s="45"/>
      <c r="J84" s="45" t="s">
        <v>143</v>
      </c>
      <c r="K84" s="45">
        <v>385.92</v>
      </c>
      <c r="L84" s="77"/>
      <c r="M84" s="52">
        <f>K84*D13</f>
        <v>1147340.1600000001</v>
      </c>
      <c r="N84" s="14">
        <f>K84*E13</f>
        <v>20.839679999999998</v>
      </c>
      <c r="O84" s="14">
        <f>K84*F13</f>
        <v>7.7569920000000003</v>
      </c>
      <c r="P84" s="14">
        <f t="shared" si="18"/>
        <v>1153687.1160960002</v>
      </c>
      <c r="Q84" s="35"/>
      <c r="R84" s="17"/>
    </row>
    <row r="85" spans="1:18" x14ac:dyDescent="0.2">
      <c r="A85" s="6" t="s">
        <v>14</v>
      </c>
      <c r="B85" s="6" t="s">
        <v>75</v>
      </c>
      <c r="C85" s="59" t="s">
        <v>141</v>
      </c>
      <c r="D85" s="13">
        <f>1171380+1171380+1440+568960</f>
        <v>2913160</v>
      </c>
      <c r="E85" s="13">
        <f>836880+1313760+1440+460000</f>
        <v>2612080</v>
      </c>
      <c r="F85" s="55"/>
      <c r="G85" s="93"/>
      <c r="H85" s="45" t="s">
        <v>154</v>
      </c>
      <c r="I85" s="45"/>
      <c r="J85" s="45" t="s">
        <v>143</v>
      </c>
      <c r="K85" s="45">
        <v>385.9</v>
      </c>
      <c r="L85" s="45"/>
      <c r="M85" s="14">
        <f>K85*D14</f>
        <v>1376736.8399999999</v>
      </c>
      <c r="N85" s="18">
        <f>K85*E14</f>
        <v>25.006319999999999</v>
      </c>
      <c r="O85" s="18">
        <f>K85*F14</f>
        <v>9.3079080000000012</v>
      </c>
      <c r="P85" s="14">
        <f t="shared" si="18"/>
        <v>1384352.7926039998</v>
      </c>
      <c r="Q85" s="35"/>
      <c r="R85" s="44"/>
    </row>
    <row r="86" spans="1:18" x14ac:dyDescent="0.2">
      <c r="A86" s="6" t="s">
        <v>14</v>
      </c>
      <c r="B86" s="6" t="s">
        <v>76</v>
      </c>
      <c r="C86" s="59" t="s">
        <v>141</v>
      </c>
      <c r="D86" s="13">
        <v>0</v>
      </c>
      <c r="E86" s="13">
        <v>327158</v>
      </c>
      <c r="F86" s="55"/>
      <c r="G86" s="93"/>
      <c r="H86" s="55"/>
      <c r="I86" s="55"/>
      <c r="J86" s="55"/>
      <c r="K86" s="55"/>
      <c r="L86" s="55"/>
      <c r="M86" s="70"/>
      <c r="N86" s="71"/>
      <c r="O86" s="71"/>
      <c r="P86" s="70"/>
      <c r="Q86" s="35"/>
      <c r="R86" s="44"/>
    </row>
    <row r="87" spans="1:18" x14ac:dyDescent="0.2">
      <c r="A87" s="6" t="s">
        <v>14</v>
      </c>
      <c r="B87" s="122" t="s">
        <v>78</v>
      </c>
      <c r="C87" s="59" t="s">
        <v>141</v>
      </c>
      <c r="D87" s="83">
        <f t="shared" ref="D87:D91" si="19">E87/$L$5*$K$5</f>
        <v>1770197.5429975428</v>
      </c>
      <c r="E87" s="13">
        <v>1445760</v>
      </c>
      <c r="F87" s="56"/>
      <c r="G87" s="96"/>
      <c r="H87" s="55"/>
      <c r="I87" s="55"/>
      <c r="J87" s="55"/>
      <c r="K87" s="55"/>
      <c r="L87" s="55"/>
      <c r="M87" s="70"/>
      <c r="N87" s="71"/>
      <c r="O87" s="75" t="s">
        <v>68</v>
      </c>
      <c r="P87" s="70">
        <f>SUM(P81:P85)</f>
        <v>205710759.3339864</v>
      </c>
      <c r="Q87" s="35" t="s">
        <v>52</v>
      </c>
      <c r="R87" s="44"/>
    </row>
    <row r="88" spans="1:18" x14ac:dyDescent="0.2">
      <c r="A88" s="6" t="s">
        <v>14</v>
      </c>
      <c r="B88" s="122" t="s">
        <v>79</v>
      </c>
      <c r="C88" s="59" t="s">
        <v>141</v>
      </c>
      <c r="D88" s="83">
        <f t="shared" si="19"/>
        <v>1190945.6511056512</v>
      </c>
      <c r="E88" s="13">
        <v>972672</v>
      </c>
      <c r="F88" s="56"/>
      <c r="G88" s="96"/>
      <c r="H88" s="55"/>
      <c r="I88" s="55"/>
      <c r="J88" s="55"/>
      <c r="K88" s="55"/>
      <c r="L88" s="55"/>
      <c r="M88" s="70"/>
      <c r="N88" s="71"/>
      <c r="O88" s="75"/>
      <c r="P88" s="70"/>
      <c r="Q88" s="35"/>
      <c r="R88" s="9"/>
    </row>
    <row r="89" spans="1:18" x14ac:dyDescent="0.2">
      <c r="A89" s="6" t="s">
        <v>14</v>
      </c>
      <c r="B89" s="122" t="s">
        <v>80</v>
      </c>
      <c r="C89" s="59" t="s">
        <v>141</v>
      </c>
      <c r="D89" s="83">
        <f t="shared" si="19"/>
        <v>847411.54791154782</v>
      </c>
      <c r="E89" s="13">
        <v>692100</v>
      </c>
      <c r="F89" s="55"/>
      <c r="G89" s="93"/>
      <c r="H89" s="55"/>
      <c r="I89" s="55"/>
      <c r="J89" s="55"/>
      <c r="K89" s="55"/>
      <c r="L89" s="55"/>
      <c r="M89" s="70"/>
      <c r="N89" s="71"/>
      <c r="O89" s="71"/>
      <c r="P89" s="70">
        <f>P87/2000</f>
        <v>102855.37966699321</v>
      </c>
      <c r="Q89" s="35" t="s">
        <v>43</v>
      </c>
      <c r="R89" s="9"/>
    </row>
    <row r="90" spans="1:18" x14ac:dyDescent="0.2">
      <c r="A90" s="6" t="s">
        <v>14</v>
      </c>
      <c r="B90" s="6" t="s">
        <v>122</v>
      </c>
      <c r="C90" s="59" t="s">
        <v>141</v>
      </c>
      <c r="D90" s="13">
        <v>0</v>
      </c>
      <c r="E90" s="13">
        <v>1128750</v>
      </c>
      <c r="F90" s="55"/>
      <c r="G90" s="93"/>
      <c r="H90" s="55"/>
      <c r="I90" s="55"/>
      <c r="J90" s="55"/>
      <c r="K90" s="55"/>
      <c r="L90" s="55"/>
      <c r="M90" s="70"/>
      <c r="N90" s="71"/>
      <c r="O90" s="71"/>
      <c r="P90" s="70"/>
      <c r="Q90" s="35"/>
      <c r="R90" s="9"/>
    </row>
    <row r="91" spans="1:18" x14ac:dyDescent="0.2">
      <c r="A91" s="6" t="s">
        <v>14</v>
      </c>
      <c r="B91" s="122" t="s">
        <v>87</v>
      </c>
      <c r="C91" s="59" t="s">
        <v>141</v>
      </c>
      <c r="D91" s="83">
        <f t="shared" si="19"/>
        <v>109853.72645372646</v>
      </c>
      <c r="E91" s="13">
        <v>89720</v>
      </c>
      <c r="F91" s="55"/>
      <c r="G91" s="93"/>
      <c r="H91" s="55"/>
      <c r="I91" s="55"/>
      <c r="J91" s="55"/>
      <c r="K91" s="55"/>
      <c r="L91" s="55"/>
      <c r="M91" s="70"/>
      <c r="N91" s="71"/>
      <c r="O91" s="75" t="s">
        <v>159</v>
      </c>
      <c r="P91" s="70">
        <f>P77+P89</f>
        <v>436900.64411571412</v>
      </c>
      <c r="Q91" s="35" t="s">
        <v>43</v>
      </c>
      <c r="R91" s="9"/>
    </row>
    <row r="92" spans="1:18" ht="13.5" thickBot="1" x14ac:dyDescent="0.25">
      <c r="A92" s="6" t="s">
        <v>14</v>
      </c>
      <c r="B92" s="6" t="s">
        <v>83</v>
      </c>
      <c r="C92" s="59" t="s">
        <v>141</v>
      </c>
      <c r="D92" s="13">
        <v>0</v>
      </c>
      <c r="E92" s="13">
        <v>1584800</v>
      </c>
      <c r="F92" s="55"/>
      <c r="G92" s="97"/>
      <c r="H92" s="98"/>
      <c r="I92" s="98"/>
      <c r="J92" s="98"/>
      <c r="K92" s="98"/>
      <c r="L92" s="98"/>
      <c r="M92" s="99"/>
      <c r="N92" s="100"/>
      <c r="O92" s="100"/>
      <c r="P92" s="99"/>
      <c r="Q92" s="40"/>
      <c r="R92" s="9"/>
    </row>
    <row r="93" spans="1:18" x14ac:dyDescent="0.2">
      <c r="A93" s="6" t="s">
        <v>14</v>
      </c>
      <c r="B93" s="6" t="s">
        <v>123</v>
      </c>
      <c r="C93" s="59" t="s">
        <v>141</v>
      </c>
      <c r="D93" s="13">
        <v>10757</v>
      </c>
      <c r="E93" s="13">
        <v>13308</v>
      </c>
      <c r="F93" s="55"/>
      <c r="G93" s="55"/>
      <c r="H93" s="55"/>
      <c r="I93" s="55"/>
      <c r="J93" s="55"/>
      <c r="K93" s="55"/>
      <c r="L93" s="55"/>
      <c r="M93" s="70"/>
      <c r="N93" s="71"/>
      <c r="O93" s="71"/>
      <c r="P93" s="70"/>
      <c r="R93" s="9"/>
    </row>
    <row r="94" spans="1:18" x14ac:dyDescent="0.2">
      <c r="A94" s="6" t="s">
        <v>14</v>
      </c>
      <c r="B94" s="6" t="s">
        <v>84</v>
      </c>
      <c r="C94" s="59" t="s">
        <v>141</v>
      </c>
      <c r="D94" s="13"/>
      <c r="E94" s="13">
        <v>1601280</v>
      </c>
      <c r="F94" s="55"/>
      <c r="G94" s="55"/>
      <c r="H94" s="55"/>
      <c r="I94" s="139" t="s">
        <v>37</v>
      </c>
      <c r="J94" s="139"/>
      <c r="K94" s="139" t="s">
        <v>72</v>
      </c>
      <c r="L94" s="139"/>
      <c r="M94" s="70"/>
      <c r="N94" s="71"/>
      <c r="O94" s="71"/>
      <c r="P94" s="70"/>
      <c r="R94" s="9"/>
    </row>
    <row r="95" spans="1:18" x14ac:dyDescent="0.2">
      <c r="A95" s="6" t="s">
        <v>14</v>
      </c>
      <c r="B95" s="122" t="s">
        <v>85</v>
      </c>
      <c r="C95" s="59" t="s">
        <v>141</v>
      </c>
      <c r="D95" s="83">
        <f>E95/$L$5*$K$5</f>
        <v>1075028.665028665</v>
      </c>
      <c r="E95" s="13">
        <v>878000</v>
      </c>
      <c r="F95" s="55"/>
      <c r="I95" s="62"/>
      <c r="J95" s="62" t="s">
        <v>170</v>
      </c>
      <c r="K95" s="62"/>
      <c r="L95" s="62" t="s">
        <v>170</v>
      </c>
      <c r="M95" s="70"/>
      <c r="N95" s="71"/>
      <c r="O95" s="71"/>
      <c r="P95" s="70"/>
      <c r="R95" s="9"/>
    </row>
    <row r="96" spans="1:18" x14ac:dyDescent="0.2">
      <c r="A96" s="6" t="s">
        <v>14</v>
      </c>
      <c r="B96" s="6" t="s">
        <v>90</v>
      </c>
      <c r="C96" s="59" t="s">
        <v>141</v>
      </c>
      <c r="D96" s="45">
        <v>0</v>
      </c>
      <c r="E96" s="45">
        <v>3650</v>
      </c>
      <c r="F96" s="55"/>
      <c r="G96" s="55" t="s">
        <v>172</v>
      </c>
      <c r="H96" s="55"/>
      <c r="I96" s="55">
        <f>SUM(K45:K47)*1000</f>
        <v>76799985.461097464</v>
      </c>
      <c r="J96" s="55">
        <f>I96*3413/1000000</f>
        <v>262118.35037872565</v>
      </c>
      <c r="K96" s="55">
        <f>SUM(K81:K83)*1000</f>
        <v>101944992</v>
      </c>
      <c r="L96" s="55">
        <f>K96*3413/1000000</f>
        <v>347938.25769599999</v>
      </c>
      <c r="M96" s="70"/>
      <c r="N96" s="71"/>
      <c r="O96" s="71"/>
      <c r="P96" s="70"/>
      <c r="R96" s="9"/>
    </row>
    <row r="97" spans="1:18" x14ac:dyDescent="0.2">
      <c r="A97" s="6" t="s">
        <v>14</v>
      </c>
      <c r="B97" s="6" t="s">
        <v>124</v>
      </c>
      <c r="C97" s="59" t="s">
        <v>141</v>
      </c>
      <c r="D97" s="13">
        <v>0</v>
      </c>
      <c r="E97" s="13">
        <v>10270</v>
      </c>
      <c r="F97" s="55"/>
      <c r="G97" s="55" t="s">
        <v>174</v>
      </c>
      <c r="H97" s="55"/>
      <c r="I97" s="55">
        <v>0</v>
      </c>
      <c r="J97" s="55">
        <f>I97*3413/1000000</f>
        <v>0</v>
      </c>
      <c r="K97" s="55">
        <f>73000+25500</f>
        <v>98500</v>
      </c>
      <c r="L97" s="55">
        <f>K97*3413/1000000</f>
        <v>336.18049999999999</v>
      </c>
      <c r="M97" s="70"/>
      <c r="N97" s="71"/>
      <c r="O97" s="71"/>
      <c r="P97" s="70"/>
      <c r="R97" s="9"/>
    </row>
    <row r="98" spans="1:18" x14ac:dyDescent="0.2">
      <c r="A98" s="6" t="s">
        <v>14</v>
      </c>
      <c r="B98" s="6" t="s">
        <v>125</v>
      </c>
      <c r="C98" s="59" t="s">
        <v>141</v>
      </c>
      <c r="D98" s="13">
        <v>984</v>
      </c>
      <c r="E98" s="13">
        <v>525</v>
      </c>
      <c r="F98" s="55"/>
      <c r="G98" s="55" t="s">
        <v>175</v>
      </c>
      <c r="H98" s="55"/>
      <c r="I98" s="55">
        <v>16781000</v>
      </c>
      <c r="J98" s="55">
        <f>I98*3413/1000000</f>
        <v>57273.553</v>
      </c>
      <c r="K98" s="55">
        <v>19444000</v>
      </c>
      <c r="L98" s="55">
        <f>K98*3413/1000000</f>
        <v>66362.372000000003</v>
      </c>
      <c r="M98" s="70"/>
      <c r="N98" s="71"/>
      <c r="O98" s="71"/>
      <c r="P98" s="70"/>
      <c r="R98" s="9"/>
    </row>
    <row r="99" spans="1:18" x14ac:dyDescent="0.2">
      <c r="A99" s="6" t="s">
        <v>14</v>
      </c>
      <c r="B99" s="6" t="s">
        <v>126</v>
      </c>
      <c r="C99" s="59" t="s">
        <v>141</v>
      </c>
      <c r="D99" s="13">
        <v>2104</v>
      </c>
      <c r="E99" s="13">
        <v>1331</v>
      </c>
      <c r="F99" s="55"/>
      <c r="G99" s="55" t="s">
        <v>173</v>
      </c>
      <c r="H99" s="55"/>
      <c r="I99" s="55">
        <f>K26+K27</f>
        <v>134632</v>
      </c>
      <c r="J99" s="55">
        <v>3124809</v>
      </c>
      <c r="K99" s="55">
        <f>K62</f>
        <v>59346</v>
      </c>
      <c r="L99" s="104">
        <f>K99*2000*11414/1000000</f>
        <v>1354750.4879999999</v>
      </c>
      <c r="M99" s="70"/>
      <c r="N99" s="71"/>
      <c r="O99" s="71"/>
      <c r="P99" s="70"/>
      <c r="R99" s="9"/>
    </row>
    <row r="100" spans="1:18" x14ac:dyDescent="0.2">
      <c r="A100" s="6" t="s">
        <v>14</v>
      </c>
      <c r="B100" s="6" t="s">
        <v>127</v>
      </c>
      <c r="C100" s="59" t="s">
        <v>141</v>
      </c>
      <c r="D100" s="45">
        <v>2087</v>
      </c>
      <c r="E100" s="45">
        <v>34018</v>
      </c>
      <c r="F100" s="55"/>
      <c r="G100" s="55" t="s">
        <v>176</v>
      </c>
      <c r="I100" s="55">
        <f>K32+K33+K34+K35</f>
        <v>169681716.96280992</v>
      </c>
      <c r="J100" s="55">
        <f>I100*1000/1000000</f>
        <v>169681.71696280991</v>
      </c>
      <c r="K100" s="55">
        <f>K67+K68+K69+K70</f>
        <v>1668068016</v>
      </c>
      <c r="L100" s="55">
        <f>K100*1000/1000000</f>
        <v>1668068.0160000001</v>
      </c>
      <c r="M100" s="70"/>
      <c r="N100" s="71"/>
      <c r="O100" s="71"/>
      <c r="P100" s="70"/>
      <c r="R100" s="9"/>
    </row>
    <row r="101" spans="1:18" x14ac:dyDescent="0.2">
      <c r="A101" s="6" t="s">
        <v>14</v>
      </c>
      <c r="B101" s="6" t="s">
        <v>95</v>
      </c>
      <c r="C101" s="59" t="s">
        <v>141</v>
      </c>
      <c r="D101" s="83">
        <v>5963688</v>
      </c>
      <c r="E101" s="13">
        <v>5963688</v>
      </c>
      <c r="F101" s="55"/>
      <c r="G101" s="55" t="s">
        <v>171</v>
      </c>
      <c r="H101" s="55"/>
      <c r="I101" s="55"/>
      <c r="J101" s="104">
        <v>3.14</v>
      </c>
      <c r="K101" s="104"/>
      <c r="L101" s="104">
        <v>3.14</v>
      </c>
      <c r="M101" s="70"/>
      <c r="N101" s="71"/>
      <c r="O101" s="71"/>
      <c r="P101" s="70"/>
      <c r="R101" s="9"/>
    </row>
    <row r="102" spans="1:18" x14ac:dyDescent="0.2">
      <c r="A102" s="6" t="s">
        <v>14</v>
      </c>
      <c r="B102" s="122" t="s">
        <v>96</v>
      </c>
      <c r="C102" s="59" t="s">
        <v>141</v>
      </c>
      <c r="D102" s="83">
        <f t="shared" ref="D102" si="20">E102/$L$5*$K$5</f>
        <v>50004.750204750206</v>
      </c>
      <c r="E102" s="13">
        <v>40840</v>
      </c>
      <c r="F102" s="55"/>
      <c r="G102" s="55"/>
      <c r="H102" s="55"/>
      <c r="I102" s="55"/>
      <c r="J102" s="55"/>
      <c r="K102" s="55"/>
      <c r="L102" s="55"/>
      <c r="M102" s="70"/>
      <c r="N102" s="71"/>
      <c r="O102" s="71"/>
      <c r="P102" s="70"/>
      <c r="R102" s="9"/>
    </row>
    <row r="103" spans="1:18" x14ac:dyDescent="0.2">
      <c r="A103" s="6" t="s">
        <v>14</v>
      </c>
      <c r="B103" s="6" t="s">
        <v>97</v>
      </c>
      <c r="C103" s="59" t="s">
        <v>141</v>
      </c>
      <c r="D103" s="45">
        <v>3120539</v>
      </c>
      <c r="E103" s="45">
        <v>3810177</v>
      </c>
      <c r="F103" s="55"/>
      <c r="G103" s="55"/>
      <c r="H103" s="55"/>
      <c r="I103" s="55"/>
      <c r="J103" s="55"/>
      <c r="K103" s="55"/>
      <c r="L103" s="55"/>
      <c r="M103" s="70"/>
      <c r="N103" s="71"/>
      <c r="O103" s="71"/>
      <c r="P103" s="70"/>
      <c r="R103" s="9"/>
    </row>
    <row r="104" spans="1:18" x14ac:dyDescent="0.2">
      <c r="A104" s="6" t="s">
        <v>14</v>
      </c>
      <c r="B104" s="6" t="s">
        <v>101</v>
      </c>
      <c r="C104" s="59" t="s">
        <v>141</v>
      </c>
      <c r="D104" s="13">
        <v>60749</v>
      </c>
      <c r="E104" s="13">
        <v>104404</v>
      </c>
      <c r="F104" s="55"/>
      <c r="G104" s="55"/>
      <c r="H104" s="55"/>
      <c r="I104" s="55"/>
      <c r="J104" s="55"/>
      <c r="K104" s="55"/>
      <c r="L104" s="55"/>
      <c r="M104" s="70"/>
      <c r="N104" s="71"/>
      <c r="O104" s="71"/>
      <c r="P104" s="70"/>
      <c r="R104" s="9"/>
    </row>
    <row r="105" spans="1:18" x14ac:dyDescent="0.2">
      <c r="A105" s="6" t="s">
        <v>14</v>
      </c>
      <c r="B105" s="6" t="s">
        <v>104</v>
      </c>
      <c r="C105" s="59" t="s">
        <v>141</v>
      </c>
      <c r="D105" s="83">
        <v>463320</v>
      </c>
      <c r="E105" s="13">
        <v>463320</v>
      </c>
      <c r="F105" s="55"/>
      <c r="G105" s="55"/>
      <c r="H105" s="55"/>
      <c r="I105" s="55"/>
      <c r="J105" s="55"/>
      <c r="K105" s="55"/>
      <c r="L105" s="55"/>
      <c r="M105" s="70"/>
      <c r="N105" s="71"/>
      <c r="O105" s="71"/>
      <c r="P105" s="70"/>
      <c r="R105" s="9"/>
    </row>
    <row r="106" spans="1:18" x14ac:dyDescent="0.2">
      <c r="A106" s="6" t="s">
        <v>14</v>
      </c>
      <c r="B106" s="6" t="s">
        <v>105</v>
      </c>
      <c r="C106" s="59" t="s">
        <v>141</v>
      </c>
      <c r="D106" s="13">
        <f>3666.5+4666.5</f>
        <v>8333</v>
      </c>
      <c r="E106" s="13">
        <f>3905.44+4970.56</f>
        <v>8876</v>
      </c>
      <c r="F106" s="55"/>
      <c r="G106" s="55"/>
      <c r="H106" s="55"/>
      <c r="I106" s="55"/>
      <c r="J106" s="55"/>
      <c r="K106" s="55"/>
      <c r="L106" s="55"/>
      <c r="M106" s="70"/>
      <c r="N106" s="71"/>
      <c r="O106" s="71"/>
      <c r="P106" s="70"/>
      <c r="R106" s="9"/>
    </row>
    <row r="107" spans="1:18" x14ac:dyDescent="0.2">
      <c r="A107" s="6" t="s">
        <v>14</v>
      </c>
      <c r="B107" s="6" t="s">
        <v>107</v>
      </c>
      <c r="C107" s="59" t="s">
        <v>141</v>
      </c>
      <c r="D107" s="83">
        <v>546360</v>
      </c>
      <c r="E107" s="13">
        <v>546360</v>
      </c>
      <c r="F107" s="55"/>
      <c r="G107" s="55"/>
      <c r="H107" s="55"/>
      <c r="I107" s="55"/>
      <c r="J107" s="55"/>
      <c r="K107" s="55"/>
      <c r="L107" s="55"/>
      <c r="M107" s="70"/>
      <c r="N107" s="71"/>
      <c r="O107" s="71"/>
      <c r="P107" s="70"/>
      <c r="R107" s="9"/>
    </row>
    <row r="108" spans="1:18" x14ac:dyDescent="0.2">
      <c r="A108" s="6" t="s">
        <v>14</v>
      </c>
      <c r="B108" s="122" t="s">
        <v>108</v>
      </c>
      <c r="C108" s="59" t="s">
        <v>141</v>
      </c>
      <c r="D108" s="83">
        <f>E108/$L$5*$K$5</f>
        <v>842195.57739557745</v>
      </c>
      <c r="E108" s="13">
        <v>687840</v>
      </c>
      <c r="F108" s="55"/>
      <c r="G108" s="55"/>
      <c r="H108" s="55"/>
      <c r="I108" s="55"/>
      <c r="J108" s="55"/>
      <c r="K108" s="55"/>
      <c r="L108" s="55"/>
      <c r="M108" s="70"/>
      <c r="N108" s="71"/>
      <c r="O108" s="71"/>
      <c r="P108" s="70"/>
      <c r="R108" s="9"/>
    </row>
    <row r="109" spans="1:18" x14ac:dyDescent="0.2">
      <c r="A109" s="6" t="s">
        <v>14</v>
      </c>
      <c r="B109" s="6" t="s">
        <v>128</v>
      </c>
      <c r="C109" s="59" t="s">
        <v>141</v>
      </c>
      <c r="D109" s="13">
        <v>1641780</v>
      </c>
      <c r="E109" s="13">
        <v>1861230</v>
      </c>
      <c r="F109" s="55"/>
      <c r="G109" s="55"/>
      <c r="H109" s="55"/>
      <c r="I109" s="55"/>
      <c r="J109" s="55"/>
      <c r="K109" s="55"/>
      <c r="L109" s="55"/>
      <c r="M109" s="70"/>
      <c r="N109" s="71"/>
      <c r="O109" s="71"/>
      <c r="P109" s="70"/>
      <c r="R109" s="9"/>
    </row>
    <row r="110" spans="1:18" x14ac:dyDescent="0.2">
      <c r="A110" s="6" t="s">
        <v>14</v>
      </c>
      <c r="B110" s="6" t="s">
        <v>132</v>
      </c>
      <c r="C110" s="59" t="s">
        <v>141</v>
      </c>
      <c r="D110" s="83">
        <v>1183265</v>
      </c>
      <c r="E110" s="45">
        <v>1183265</v>
      </c>
      <c r="F110" s="55"/>
      <c r="G110" s="55"/>
      <c r="H110" s="55"/>
      <c r="I110" s="55"/>
      <c r="J110" s="55"/>
      <c r="K110" s="55"/>
      <c r="L110" s="55"/>
      <c r="M110" s="70"/>
      <c r="N110" s="71"/>
      <c r="O110" s="71"/>
      <c r="P110" s="70"/>
      <c r="R110" s="9"/>
    </row>
    <row r="111" spans="1:18" x14ac:dyDescent="0.2">
      <c r="A111" s="6" t="s">
        <v>14</v>
      </c>
      <c r="B111" s="6" t="s">
        <v>133</v>
      </c>
      <c r="C111" s="59" t="s">
        <v>141</v>
      </c>
      <c r="D111" s="83">
        <v>1607786</v>
      </c>
      <c r="E111" s="45">
        <v>1607786</v>
      </c>
      <c r="F111" s="55"/>
      <c r="G111" s="55"/>
      <c r="H111" s="55"/>
      <c r="I111" s="55"/>
      <c r="J111" s="55"/>
      <c r="K111" s="55"/>
      <c r="L111" s="55"/>
      <c r="M111" s="70"/>
      <c r="N111" s="71"/>
      <c r="O111" s="71"/>
      <c r="P111" s="70"/>
      <c r="R111" s="9"/>
    </row>
    <row r="112" spans="1:18" x14ac:dyDescent="0.2">
      <c r="A112" s="6" t="s">
        <v>14</v>
      </c>
      <c r="B112" s="6" t="s">
        <v>135</v>
      </c>
      <c r="C112" s="59" t="s">
        <v>141</v>
      </c>
      <c r="D112" s="83">
        <v>360147.99999999994</v>
      </c>
      <c r="E112" s="45">
        <v>360147.99999999994</v>
      </c>
      <c r="F112" s="55"/>
      <c r="G112" s="55"/>
      <c r="H112" s="55"/>
      <c r="I112" s="55"/>
      <c r="J112" s="55"/>
      <c r="K112" s="55"/>
      <c r="L112" s="55"/>
      <c r="M112" s="70"/>
      <c r="N112" s="71"/>
      <c r="O112" s="71"/>
      <c r="P112" s="70"/>
      <c r="R112" s="9"/>
    </row>
    <row r="113" spans="1:18" x14ac:dyDescent="0.2">
      <c r="A113" s="6" t="s">
        <v>14</v>
      </c>
      <c r="B113" s="6" t="s">
        <v>134</v>
      </c>
      <c r="C113" s="59" t="s">
        <v>141</v>
      </c>
      <c r="D113" s="83">
        <v>2427214</v>
      </c>
      <c r="E113" s="45">
        <v>2427214</v>
      </c>
      <c r="F113" s="55"/>
      <c r="G113" s="55"/>
      <c r="H113" s="55"/>
      <c r="I113" s="55"/>
      <c r="J113" s="55"/>
      <c r="K113" s="55"/>
      <c r="L113" s="55"/>
      <c r="M113" s="70"/>
      <c r="N113" s="71"/>
      <c r="O113" s="71"/>
      <c r="P113" s="70"/>
      <c r="R113" s="9"/>
    </row>
    <row r="114" spans="1:18" x14ac:dyDescent="0.2">
      <c r="A114" s="6" t="s">
        <v>14</v>
      </c>
      <c r="B114" s="6" t="s">
        <v>115</v>
      </c>
      <c r="C114" s="59" t="s">
        <v>141</v>
      </c>
      <c r="D114" s="83">
        <v>11156</v>
      </c>
      <c r="E114" s="45">
        <v>11156</v>
      </c>
      <c r="F114" s="55"/>
      <c r="G114" s="55"/>
      <c r="H114" s="55"/>
      <c r="I114" s="55"/>
      <c r="J114" s="55"/>
      <c r="K114" s="55"/>
      <c r="L114" s="55"/>
      <c r="M114" s="70"/>
      <c r="N114" s="71"/>
      <c r="O114" s="71"/>
      <c r="P114" s="70"/>
      <c r="R114" s="9"/>
    </row>
    <row r="115" spans="1:18" x14ac:dyDescent="0.2">
      <c r="A115" s="6" t="s">
        <v>14</v>
      </c>
      <c r="B115" s="6" t="s">
        <v>116</v>
      </c>
      <c r="C115" s="59" t="s">
        <v>141</v>
      </c>
      <c r="D115" s="83">
        <v>19540</v>
      </c>
      <c r="E115" s="45">
        <v>19540</v>
      </c>
      <c r="F115" s="55"/>
      <c r="G115" s="55"/>
      <c r="H115" s="55"/>
      <c r="I115" s="55"/>
      <c r="J115" s="55"/>
      <c r="K115" s="55"/>
      <c r="L115" s="55"/>
      <c r="M115" s="70"/>
      <c r="N115" s="71"/>
      <c r="O115" s="71"/>
      <c r="P115" s="70"/>
      <c r="R115" s="9"/>
    </row>
    <row r="116" spans="1:18" x14ac:dyDescent="0.2">
      <c r="A116" s="6" t="s">
        <v>14</v>
      </c>
      <c r="B116" s="6" t="s">
        <v>117</v>
      </c>
      <c r="C116" s="59" t="s">
        <v>141</v>
      </c>
      <c r="D116" s="83">
        <v>15480</v>
      </c>
      <c r="E116" s="45">
        <v>15480</v>
      </c>
      <c r="F116" s="55"/>
      <c r="G116" s="55"/>
      <c r="H116" s="55"/>
      <c r="I116" s="55"/>
      <c r="J116" s="55"/>
      <c r="K116" s="55"/>
      <c r="L116" s="55"/>
      <c r="M116" s="70"/>
      <c r="N116" s="71"/>
      <c r="O116" s="71"/>
      <c r="P116" s="70"/>
      <c r="R116" s="9"/>
    </row>
    <row r="117" spans="1:18" x14ac:dyDescent="0.2">
      <c r="A117" s="6" t="s">
        <v>14</v>
      </c>
      <c r="B117" s="6" t="s">
        <v>118</v>
      </c>
      <c r="C117" s="59" t="s">
        <v>141</v>
      </c>
      <c r="D117" s="83">
        <v>22194</v>
      </c>
      <c r="E117" s="45">
        <v>22194</v>
      </c>
      <c r="F117" s="55"/>
      <c r="G117" s="55"/>
      <c r="H117" s="55"/>
      <c r="I117" s="55"/>
      <c r="J117" s="55"/>
      <c r="K117" s="55"/>
      <c r="L117" s="55"/>
      <c r="M117" s="70"/>
      <c r="N117" s="71"/>
      <c r="O117" s="71"/>
      <c r="P117" s="70"/>
      <c r="R117" s="9"/>
    </row>
    <row r="118" spans="1:18" x14ac:dyDescent="0.2">
      <c r="A118" s="6" t="s">
        <v>14</v>
      </c>
      <c r="B118" s="6" t="s">
        <v>136</v>
      </c>
      <c r="C118" s="59" t="s">
        <v>141</v>
      </c>
      <c r="D118" s="13">
        <v>0</v>
      </c>
      <c r="E118" s="45">
        <v>603287</v>
      </c>
      <c r="F118" s="55"/>
      <c r="G118" s="55"/>
      <c r="H118" s="55"/>
      <c r="I118" s="55"/>
      <c r="J118" s="55"/>
      <c r="K118" s="55"/>
      <c r="L118" s="55"/>
      <c r="M118" s="70"/>
      <c r="N118" s="71"/>
      <c r="O118" s="71"/>
      <c r="P118" s="70"/>
      <c r="R118" s="9"/>
    </row>
    <row r="119" spans="1:18" x14ac:dyDescent="0.2">
      <c r="A119" s="6" t="s">
        <v>14</v>
      </c>
      <c r="B119" s="6" t="s">
        <v>119</v>
      </c>
      <c r="C119" s="59" t="s">
        <v>141</v>
      </c>
      <c r="D119" s="45">
        <v>1061417</v>
      </c>
      <c r="E119" s="45">
        <v>1086994</v>
      </c>
      <c r="F119" s="55"/>
      <c r="G119" s="55"/>
      <c r="H119" s="55"/>
      <c r="I119" s="55"/>
      <c r="J119" s="55"/>
      <c r="K119" s="55"/>
      <c r="L119" s="55"/>
      <c r="M119" s="70"/>
      <c r="N119" s="71"/>
      <c r="O119" s="71"/>
      <c r="P119" s="70"/>
      <c r="R119" s="9"/>
    </row>
    <row r="120" spans="1:18" x14ac:dyDescent="0.2">
      <c r="A120" s="6" t="s">
        <v>14</v>
      </c>
      <c r="B120" s="6" t="s">
        <v>120</v>
      </c>
      <c r="C120" s="59" t="s">
        <v>141</v>
      </c>
      <c r="D120" s="13">
        <v>101231</v>
      </c>
      <c r="E120" s="13">
        <v>47912</v>
      </c>
      <c r="F120" s="55"/>
      <c r="G120" s="55"/>
      <c r="H120" s="55"/>
      <c r="I120" s="55"/>
      <c r="J120" s="55"/>
      <c r="K120" s="55"/>
      <c r="L120" s="55"/>
      <c r="M120" s="70"/>
      <c r="N120" s="71"/>
      <c r="O120" s="71"/>
      <c r="P120" s="70"/>
      <c r="R120" s="9"/>
    </row>
    <row r="121" spans="1:18" x14ac:dyDescent="0.2">
      <c r="A121" s="6" t="s">
        <v>14</v>
      </c>
      <c r="B121" s="6" t="s">
        <v>129</v>
      </c>
      <c r="C121" s="59" t="s">
        <v>141</v>
      </c>
      <c r="D121" s="13">
        <v>21568</v>
      </c>
      <c r="E121" s="13">
        <v>14666</v>
      </c>
      <c r="F121" s="55"/>
      <c r="G121" s="55"/>
      <c r="H121" s="55"/>
      <c r="I121" s="55"/>
      <c r="J121" s="55"/>
      <c r="K121" s="55"/>
      <c r="L121" s="55"/>
      <c r="M121" s="70"/>
      <c r="N121" s="71"/>
      <c r="O121" s="71"/>
      <c r="P121" s="70"/>
      <c r="R121" s="9"/>
    </row>
    <row r="122" spans="1:18" x14ac:dyDescent="0.2">
      <c r="A122" s="6" t="s">
        <v>14</v>
      </c>
      <c r="B122" s="6" t="s">
        <v>130</v>
      </c>
      <c r="C122" s="59" t="s">
        <v>141</v>
      </c>
      <c r="D122" s="13">
        <v>53382</v>
      </c>
      <c r="E122" s="13">
        <v>27379</v>
      </c>
      <c r="F122" s="55"/>
      <c r="G122" s="55"/>
      <c r="H122" s="55"/>
      <c r="I122" s="55"/>
      <c r="J122" s="55"/>
      <c r="K122" s="55"/>
      <c r="L122" s="55"/>
      <c r="M122" s="70"/>
      <c r="N122" s="71"/>
      <c r="O122" s="71"/>
      <c r="P122" s="70"/>
      <c r="R122" s="9"/>
    </row>
    <row r="123" spans="1:18" x14ac:dyDescent="0.2">
      <c r="A123" s="6" t="s">
        <v>14</v>
      </c>
      <c r="B123" s="6" t="s">
        <v>121</v>
      </c>
      <c r="C123" s="59" t="s">
        <v>141</v>
      </c>
      <c r="D123" s="13">
        <v>0</v>
      </c>
      <c r="E123" s="13">
        <v>24355</v>
      </c>
      <c r="F123" s="55"/>
      <c r="G123" s="55"/>
      <c r="H123" s="55"/>
      <c r="I123" s="55"/>
      <c r="J123" s="55"/>
      <c r="K123" s="55"/>
      <c r="L123" s="55"/>
      <c r="M123" s="70"/>
      <c r="N123" s="71"/>
      <c r="O123" s="71"/>
      <c r="P123" s="70"/>
      <c r="R123" s="9"/>
    </row>
    <row r="124" spans="1:18" x14ac:dyDescent="0.2">
      <c r="A124" s="6" t="s">
        <v>14</v>
      </c>
      <c r="B124" s="3" t="s">
        <v>131</v>
      </c>
      <c r="C124" s="59" t="s">
        <v>141</v>
      </c>
      <c r="D124" s="13">
        <f>409+11524</f>
        <v>11933</v>
      </c>
      <c r="E124" s="13">
        <v>10671</v>
      </c>
      <c r="F124" s="55"/>
      <c r="G124" s="55"/>
      <c r="H124" s="55"/>
      <c r="I124" s="55"/>
      <c r="J124" s="55"/>
      <c r="K124" s="55"/>
      <c r="L124" s="55"/>
      <c r="M124" s="70"/>
      <c r="N124" s="71"/>
      <c r="O124" s="71"/>
      <c r="P124" s="70"/>
      <c r="R124" s="9"/>
    </row>
    <row r="125" spans="1:18" x14ac:dyDescent="0.2">
      <c r="A125" s="6"/>
      <c r="B125" s="3"/>
      <c r="C125" s="59"/>
      <c r="D125" s="13"/>
      <c r="E125" s="13"/>
      <c r="F125" s="55"/>
      <c r="G125" s="55"/>
      <c r="H125" s="56"/>
      <c r="I125" s="56"/>
      <c r="J125" s="56"/>
      <c r="K125" s="56"/>
      <c r="L125" s="56"/>
      <c r="M125" s="70"/>
      <c r="N125" s="71"/>
      <c r="O125" s="71"/>
      <c r="P125" s="70"/>
      <c r="R125" s="9"/>
    </row>
    <row r="126" spans="1:18" x14ac:dyDescent="0.2">
      <c r="A126" s="12" t="s">
        <v>30</v>
      </c>
      <c r="B126" s="12" t="s">
        <v>16</v>
      </c>
      <c r="C126" s="60" t="s">
        <v>143</v>
      </c>
      <c r="D126" s="46">
        <v>340.7</v>
      </c>
      <c r="E126" s="46"/>
      <c r="F126" s="55"/>
      <c r="G126" s="55"/>
      <c r="H126" s="56"/>
      <c r="I126" s="56"/>
      <c r="J126" s="56"/>
      <c r="K126" s="56"/>
      <c r="L126" s="56"/>
      <c r="M126" s="70"/>
      <c r="N126" s="71"/>
      <c r="O126" s="71"/>
      <c r="P126" s="70"/>
      <c r="R126" s="9"/>
    </row>
    <row r="127" spans="1:18" x14ac:dyDescent="0.2">
      <c r="A127" s="6" t="s">
        <v>31</v>
      </c>
      <c r="B127" s="6" t="s">
        <v>32</v>
      </c>
      <c r="C127" s="51" t="s">
        <v>143</v>
      </c>
      <c r="D127" s="46">
        <v>315.60000000000002</v>
      </c>
      <c r="E127" s="46"/>
      <c r="F127" s="55"/>
      <c r="G127" s="55"/>
      <c r="H127" s="55"/>
      <c r="I127" s="55"/>
      <c r="J127" s="55"/>
      <c r="K127" s="55"/>
      <c r="L127" s="55"/>
      <c r="M127" s="70"/>
      <c r="N127" s="71"/>
      <c r="O127" s="71"/>
      <c r="P127" s="70"/>
      <c r="R127" s="44"/>
    </row>
    <row r="128" spans="1:18" x14ac:dyDescent="0.2">
      <c r="C128" s="9"/>
      <c r="D128" s="61"/>
      <c r="F128" s="55"/>
      <c r="G128" s="55"/>
      <c r="H128" s="55"/>
      <c r="I128" s="55"/>
      <c r="J128" s="55"/>
      <c r="K128" s="55"/>
      <c r="L128" s="55"/>
      <c r="M128" s="70"/>
      <c r="N128" s="71"/>
      <c r="O128" s="71"/>
      <c r="P128" s="70"/>
      <c r="R128" s="44"/>
    </row>
    <row r="129" spans="1:19" x14ac:dyDescent="0.2">
      <c r="C129" s="9"/>
      <c r="D129" s="61"/>
      <c r="F129" s="55"/>
      <c r="G129" s="55"/>
      <c r="H129" s="55"/>
      <c r="I129" s="55"/>
      <c r="J129" s="55"/>
      <c r="K129" s="55"/>
      <c r="L129" s="55"/>
      <c r="M129" s="70"/>
      <c r="N129" s="71"/>
      <c r="O129" s="71"/>
      <c r="P129" s="70"/>
      <c r="R129" s="17"/>
    </row>
    <row r="130" spans="1:19" x14ac:dyDescent="0.2">
      <c r="C130" s="9"/>
      <c r="D130" s="61"/>
      <c r="F130" s="55"/>
      <c r="G130" s="55"/>
      <c r="H130" s="55"/>
      <c r="I130" s="55"/>
      <c r="J130" s="55"/>
      <c r="K130" s="55"/>
      <c r="L130" s="55"/>
      <c r="M130" s="70"/>
      <c r="N130" s="71"/>
      <c r="O130" s="71"/>
      <c r="P130" s="70"/>
      <c r="R130" s="17"/>
    </row>
    <row r="131" spans="1:19" customFormat="1" x14ac:dyDescent="0.2">
      <c r="A131" s="8"/>
      <c r="B131" s="8"/>
      <c r="C131" s="9"/>
      <c r="D131" s="61"/>
      <c r="E131" s="8"/>
      <c r="F131" s="55"/>
      <c r="G131" s="55"/>
      <c r="H131" s="55"/>
      <c r="I131" s="55"/>
      <c r="J131" s="55"/>
      <c r="K131" s="55"/>
      <c r="L131" s="55"/>
      <c r="M131" s="70"/>
      <c r="N131" s="71"/>
      <c r="O131" s="71"/>
      <c r="P131" s="70"/>
      <c r="Q131" s="8"/>
      <c r="R131" s="8"/>
    </row>
    <row r="132" spans="1:19" customFormat="1" x14ac:dyDescent="0.2">
      <c r="C132" s="1"/>
      <c r="D132" s="61"/>
      <c r="F132" s="57"/>
      <c r="G132" s="57"/>
      <c r="H132" s="55"/>
      <c r="I132" s="55"/>
      <c r="J132" s="55"/>
      <c r="K132" s="55"/>
      <c r="L132" s="55"/>
      <c r="M132" s="70"/>
      <c r="N132" s="71"/>
      <c r="O132" s="71"/>
      <c r="P132" s="70"/>
      <c r="Q132" s="8"/>
      <c r="R132" s="15"/>
    </row>
    <row r="133" spans="1:19" customFormat="1" x14ac:dyDescent="0.2">
      <c r="C133" s="1"/>
      <c r="D133" s="61"/>
      <c r="E133" s="58"/>
      <c r="F133" s="57"/>
      <c r="G133" s="57"/>
      <c r="H133" s="55"/>
      <c r="I133" s="55"/>
      <c r="J133" s="55"/>
      <c r="K133" s="55"/>
      <c r="L133" s="55"/>
      <c r="M133" s="70"/>
      <c r="N133" s="71"/>
      <c r="O133" s="71"/>
      <c r="P133" s="70"/>
      <c r="Q133" s="8"/>
      <c r="R133" s="8"/>
    </row>
    <row r="134" spans="1:19" customFormat="1" x14ac:dyDescent="0.2">
      <c r="C134" s="1"/>
      <c r="D134" s="61"/>
      <c r="E134" s="58"/>
      <c r="F134" s="54"/>
      <c r="G134" s="54"/>
      <c r="H134" s="55"/>
      <c r="I134" s="55"/>
      <c r="J134" s="55"/>
      <c r="K134" s="55"/>
      <c r="L134" s="55"/>
      <c r="M134" s="70"/>
      <c r="N134" s="71"/>
      <c r="O134" s="71"/>
      <c r="P134" s="70"/>
      <c r="Q134" s="8"/>
      <c r="R134" s="8"/>
      <c r="S134" s="21"/>
    </row>
    <row r="135" spans="1:19" customFormat="1" x14ac:dyDescent="0.2">
      <c r="C135" s="1"/>
      <c r="D135" s="61"/>
      <c r="E135" s="58"/>
      <c r="F135" s="54"/>
      <c r="G135" s="54"/>
      <c r="H135" s="55"/>
      <c r="I135" s="55"/>
      <c r="J135" s="55"/>
      <c r="K135" s="55"/>
      <c r="L135" s="55"/>
      <c r="M135" s="70"/>
      <c r="N135" s="71"/>
      <c r="O135" s="71"/>
      <c r="P135" s="70"/>
      <c r="Q135" s="8"/>
    </row>
    <row r="136" spans="1:19" customFormat="1" x14ac:dyDescent="0.2">
      <c r="C136" s="1"/>
      <c r="D136" s="61"/>
      <c r="E136" s="58"/>
      <c r="F136" s="54"/>
      <c r="G136" s="54"/>
      <c r="H136" s="55"/>
      <c r="I136" s="55"/>
      <c r="J136" s="55"/>
      <c r="K136" s="55"/>
      <c r="L136" s="55"/>
      <c r="M136" s="70"/>
      <c r="N136" s="71"/>
      <c r="O136" s="71"/>
      <c r="P136" s="70"/>
      <c r="Q136" s="8"/>
      <c r="S136" s="22"/>
    </row>
    <row r="137" spans="1:19" customFormat="1" x14ac:dyDescent="0.2">
      <c r="C137" s="1"/>
      <c r="D137" s="61"/>
      <c r="E137" s="58"/>
      <c r="F137" s="54"/>
      <c r="G137" s="54"/>
      <c r="H137" s="55"/>
      <c r="I137" s="55"/>
      <c r="J137" s="55"/>
      <c r="K137" s="55"/>
      <c r="L137" s="55"/>
      <c r="M137" s="70"/>
      <c r="N137" s="71"/>
      <c r="O137" s="71"/>
      <c r="P137" s="70"/>
      <c r="Q137" s="8"/>
    </row>
    <row r="138" spans="1:19" customFormat="1" x14ac:dyDescent="0.2">
      <c r="C138" s="1"/>
      <c r="D138" s="61"/>
      <c r="E138" s="58"/>
      <c r="F138" s="58"/>
      <c r="G138" s="58"/>
      <c r="H138" s="55"/>
      <c r="I138" s="55"/>
      <c r="J138" s="55"/>
      <c r="K138" s="55"/>
      <c r="L138" s="55"/>
      <c r="M138" s="70"/>
      <c r="N138" s="71"/>
      <c r="O138" s="71"/>
      <c r="P138" s="70"/>
      <c r="Q138" s="8"/>
    </row>
    <row r="139" spans="1:19" x14ac:dyDescent="0.2">
      <c r="A139"/>
      <c r="B139"/>
      <c r="C139" s="1"/>
      <c r="D139" s="61"/>
      <c r="E139" s="58"/>
      <c r="F139" s="54"/>
      <c r="G139" s="54"/>
      <c r="H139" s="55"/>
      <c r="I139" s="55"/>
      <c r="J139" s="55"/>
      <c r="K139" s="55"/>
      <c r="L139" s="55"/>
      <c r="M139" s="70"/>
      <c r="N139" s="71"/>
      <c r="O139" s="71"/>
      <c r="P139" s="70"/>
      <c r="R139"/>
    </row>
    <row r="140" spans="1:19" x14ac:dyDescent="0.2">
      <c r="C140" s="9"/>
      <c r="D140" s="61"/>
      <c r="E140" s="54"/>
      <c r="F140" s="54"/>
      <c r="G140" s="54"/>
      <c r="H140" s="55"/>
      <c r="I140" s="55"/>
      <c r="J140" s="55"/>
      <c r="K140" s="55"/>
      <c r="L140" s="55"/>
      <c r="M140" s="70"/>
      <c r="N140" s="71"/>
      <c r="O140" s="71"/>
      <c r="P140" s="70"/>
      <c r="R140"/>
    </row>
    <row r="141" spans="1:19" x14ac:dyDescent="0.2">
      <c r="C141" s="9"/>
      <c r="D141" s="61"/>
      <c r="E141" s="54"/>
      <c r="F141" s="54"/>
      <c r="G141" s="54"/>
      <c r="H141" s="55"/>
      <c r="I141" s="55"/>
      <c r="J141" s="55"/>
      <c r="K141" s="55"/>
      <c r="L141" s="55"/>
      <c r="M141" s="70"/>
      <c r="N141" s="71"/>
      <c r="O141" s="71"/>
      <c r="P141" s="70"/>
      <c r="R141"/>
    </row>
    <row r="142" spans="1:19" x14ac:dyDescent="0.2">
      <c r="C142" s="9"/>
      <c r="D142" s="61"/>
      <c r="E142" s="54"/>
      <c r="F142" s="54"/>
      <c r="G142" s="54"/>
      <c r="H142" s="55"/>
      <c r="I142" s="55"/>
      <c r="J142" s="55"/>
      <c r="K142" s="55"/>
      <c r="L142" s="55"/>
      <c r="M142" s="70"/>
      <c r="N142" s="71"/>
      <c r="O142" s="71"/>
      <c r="P142" s="70"/>
    </row>
    <row r="143" spans="1:19" x14ac:dyDescent="0.2">
      <c r="C143" s="9"/>
      <c r="D143" s="61"/>
      <c r="E143" s="54"/>
      <c r="F143" s="58"/>
      <c r="G143" s="58"/>
      <c r="H143" s="55"/>
      <c r="I143" s="55"/>
      <c r="J143" s="55"/>
      <c r="K143" s="55"/>
      <c r="L143" s="55"/>
      <c r="M143" s="70"/>
      <c r="N143" s="71"/>
      <c r="O143" s="71"/>
      <c r="P143" s="70"/>
    </row>
    <row r="144" spans="1:19" x14ac:dyDescent="0.2">
      <c r="C144" s="9"/>
      <c r="D144" s="61"/>
      <c r="F144" s="58"/>
      <c r="G144" s="58"/>
      <c r="H144" s="55"/>
      <c r="I144" s="55"/>
      <c r="J144" s="55"/>
      <c r="K144" s="55"/>
      <c r="L144" s="55"/>
      <c r="M144" s="70"/>
      <c r="N144" s="71"/>
      <c r="O144" s="71"/>
      <c r="P144" s="70"/>
    </row>
    <row r="145" spans="3:16" x14ac:dyDescent="0.2">
      <c r="C145" s="9"/>
      <c r="D145" s="61"/>
      <c r="F145" s="58"/>
      <c r="G145" s="58"/>
      <c r="H145" s="55"/>
      <c r="I145" s="55"/>
      <c r="J145" s="55"/>
      <c r="K145" s="55"/>
      <c r="L145" s="55"/>
      <c r="M145" s="70"/>
      <c r="N145" s="71"/>
      <c r="O145" s="71"/>
      <c r="P145" s="70"/>
    </row>
    <row r="146" spans="3:16" x14ac:dyDescent="0.2">
      <c r="C146" s="9"/>
      <c r="D146" s="61"/>
      <c r="F146" s="58"/>
      <c r="G146" s="58"/>
      <c r="H146" s="55"/>
      <c r="I146" s="55"/>
      <c r="J146" s="55"/>
      <c r="K146" s="55"/>
      <c r="L146" s="55"/>
      <c r="M146" s="70"/>
      <c r="N146" s="71"/>
      <c r="O146" s="71"/>
      <c r="P146" s="70"/>
    </row>
    <row r="147" spans="3:16" x14ac:dyDescent="0.2">
      <c r="C147" s="9"/>
      <c r="D147" s="61"/>
      <c r="E147" s="33"/>
      <c r="F147" s="58"/>
      <c r="G147" s="58"/>
      <c r="H147" s="55"/>
      <c r="I147" s="55"/>
      <c r="J147" s="55"/>
      <c r="K147" s="55"/>
      <c r="L147" s="55"/>
      <c r="M147" s="70"/>
      <c r="N147" s="71"/>
      <c r="O147" s="71"/>
      <c r="P147" s="70"/>
    </row>
    <row r="148" spans="3:16" x14ac:dyDescent="0.2">
      <c r="C148" s="9"/>
      <c r="D148" s="61"/>
      <c r="E148" s="33"/>
      <c r="F148" s="58"/>
      <c r="G148" s="58"/>
      <c r="H148" s="55"/>
      <c r="I148" s="55"/>
      <c r="J148" s="55"/>
      <c r="K148" s="55"/>
      <c r="L148" s="55"/>
      <c r="M148" s="70"/>
      <c r="N148" s="71"/>
      <c r="O148" s="71"/>
      <c r="P148" s="70"/>
    </row>
    <row r="149" spans="3:16" x14ac:dyDescent="0.2">
      <c r="C149" s="9"/>
      <c r="D149" s="61"/>
      <c r="E149" s="33"/>
      <c r="F149" s="58"/>
      <c r="G149" s="58"/>
      <c r="H149" s="55"/>
      <c r="I149" s="55"/>
      <c r="J149" s="55"/>
      <c r="K149" s="55"/>
      <c r="L149" s="55"/>
      <c r="M149" s="70"/>
      <c r="N149" s="71"/>
      <c r="O149" s="71"/>
      <c r="P149" s="70"/>
    </row>
    <row r="150" spans="3:16" x14ac:dyDescent="0.2">
      <c r="C150" s="9"/>
      <c r="D150" s="61"/>
      <c r="E150" s="33"/>
      <c r="F150" s="58"/>
      <c r="G150" s="58"/>
      <c r="H150" s="55"/>
      <c r="I150" s="55"/>
      <c r="J150" s="55"/>
      <c r="K150" s="55"/>
      <c r="L150" s="55"/>
      <c r="M150" s="70"/>
      <c r="N150" s="71"/>
      <c r="O150" s="71"/>
      <c r="P150" s="70"/>
    </row>
    <row r="151" spans="3:16" x14ac:dyDescent="0.2">
      <c r="C151" s="9"/>
      <c r="D151" s="61"/>
      <c r="F151" s="54"/>
      <c r="G151" s="54"/>
      <c r="H151" s="55"/>
      <c r="I151" s="55"/>
      <c r="J151" s="55"/>
      <c r="K151" s="55"/>
      <c r="L151" s="55"/>
      <c r="M151" s="70"/>
      <c r="N151" s="71"/>
      <c r="O151" s="71"/>
      <c r="P151" s="70"/>
    </row>
    <row r="152" spans="3:16" x14ac:dyDescent="0.2">
      <c r="C152" s="9"/>
      <c r="D152" s="61"/>
      <c r="F152" s="54"/>
      <c r="G152" s="54"/>
      <c r="H152" s="55"/>
      <c r="I152" s="55"/>
      <c r="J152" s="55"/>
      <c r="K152" s="55"/>
      <c r="L152" s="55"/>
      <c r="M152" s="70"/>
      <c r="N152" s="71"/>
      <c r="O152" s="71"/>
      <c r="P152" s="70"/>
    </row>
    <row r="153" spans="3:16" x14ac:dyDescent="0.2">
      <c r="C153" s="9"/>
      <c r="D153" s="61"/>
      <c r="F153" s="54"/>
      <c r="G153" s="54"/>
      <c r="H153" s="55"/>
      <c r="I153" s="55"/>
      <c r="J153" s="55"/>
      <c r="K153" s="55"/>
      <c r="L153" s="55"/>
      <c r="M153" s="70"/>
      <c r="N153" s="71"/>
      <c r="O153" s="71"/>
      <c r="P153" s="70"/>
    </row>
    <row r="154" spans="3:16" x14ac:dyDescent="0.2">
      <c r="C154" s="9"/>
      <c r="D154" s="61"/>
      <c r="F154" s="54"/>
      <c r="G154" s="54"/>
      <c r="H154" s="55"/>
      <c r="I154" s="55"/>
      <c r="J154" s="55"/>
      <c r="K154" s="55"/>
      <c r="L154" s="55"/>
      <c r="M154" s="70"/>
      <c r="N154" s="71"/>
      <c r="O154" s="71"/>
      <c r="P154" s="70"/>
    </row>
    <row r="155" spans="3:16" x14ac:dyDescent="0.2">
      <c r="C155" s="9"/>
      <c r="D155" s="61"/>
      <c r="H155" s="55"/>
      <c r="I155" s="55"/>
      <c r="J155" s="55"/>
      <c r="K155" s="55"/>
      <c r="L155" s="55"/>
      <c r="M155" s="70"/>
      <c r="N155" s="71"/>
      <c r="O155" s="71"/>
      <c r="P155" s="70"/>
    </row>
    <row r="156" spans="3:16" x14ac:dyDescent="0.2">
      <c r="C156" s="9"/>
      <c r="D156" s="61"/>
      <c r="H156" s="55"/>
      <c r="I156" s="55"/>
      <c r="J156" s="55"/>
      <c r="K156" s="55"/>
      <c r="L156" s="55"/>
      <c r="M156" s="70"/>
      <c r="N156" s="71"/>
      <c r="O156" s="71"/>
      <c r="P156" s="70"/>
    </row>
    <row r="157" spans="3:16" x14ac:dyDescent="0.2">
      <c r="C157" s="9"/>
      <c r="D157" s="61"/>
      <c r="H157" s="55"/>
      <c r="I157" s="55"/>
      <c r="J157" s="55"/>
      <c r="K157" s="55"/>
      <c r="L157" s="55"/>
      <c r="M157" s="70"/>
      <c r="N157" s="71"/>
      <c r="O157" s="71"/>
      <c r="P157" s="70"/>
    </row>
    <row r="158" spans="3:16" x14ac:dyDescent="0.2">
      <c r="C158" s="9"/>
      <c r="D158" s="61"/>
      <c r="F158" s="33"/>
      <c r="G158" s="33"/>
      <c r="H158" s="55"/>
      <c r="I158" s="55"/>
      <c r="J158" s="55"/>
      <c r="K158" s="55"/>
      <c r="L158" s="55"/>
      <c r="M158" s="70"/>
      <c r="N158" s="71"/>
      <c r="O158" s="71"/>
      <c r="P158" s="70"/>
    </row>
    <row r="159" spans="3:16" x14ac:dyDescent="0.2">
      <c r="C159" s="9"/>
      <c r="D159" s="61"/>
      <c r="F159" s="33"/>
      <c r="G159" s="33"/>
      <c r="H159" s="55"/>
      <c r="I159" s="55"/>
      <c r="J159" s="55"/>
      <c r="K159" s="55"/>
      <c r="L159" s="55"/>
      <c r="M159" s="70"/>
      <c r="N159" s="71"/>
      <c r="O159" s="71"/>
      <c r="P159" s="70"/>
    </row>
    <row r="160" spans="3:16" x14ac:dyDescent="0.2">
      <c r="C160" s="9"/>
      <c r="D160" s="61"/>
      <c r="F160" s="33"/>
      <c r="G160" s="33"/>
      <c r="H160" s="55"/>
      <c r="I160" s="55"/>
      <c r="J160" s="55"/>
      <c r="K160" s="55"/>
      <c r="L160" s="55"/>
      <c r="M160" s="70"/>
      <c r="N160" s="71"/>
      <c r="O160" s="71"/>
      <c r="P160" s="70"/>
    </row>
    <row r="161" spans="3:16" x14ac:dyDescent="0.2">
      <c r="C161" s="9"/>
      <c r="D161" s="61"/>
      <c r="F161" s="33"/>
      <c r="G161" s="33"/>
      <c r="H161" s="55"/>
      <c r="I161" s="55"/>
      <c r="J161" s="55"/>
      <c r="K161" s="55"/>
      <c r="L161" s="55"/>
      <c r="M161" s="70"/>
      <c r="N161" s="71"/>
      <c r="O161" s="71"/>
      <c r="P161" s="70"/>
    </row>
    <row r="162" spans="3:16" x14ac:dyDescent="0.2">
      <c r="C162" s="9"/>
      <c r="D162" s="61"/>
      <c r="H162" s="55"/>
      <c r="I162" s="55"/>
      <c r="J162" s="55"/>
      <c r="K162" s="55"/>
      <c r="L162" s="55"/>
      <c r="M162" s="70"/>
      <c r="N162" s="71"/>
      <c r="O162" s="71"/>
      <c r="P162" s="70"/>
    </row>
    <row r="163" spans="3:16" x14ac:dyDescent="0.2">
      <c r="C163" s="9"/>
      <c r="D163" s="61"/>
      <c r="H163" s="55"/>
      <c r="I163" s="55"/>
      <c r="J163" s="55"/>
      <c r="K163" s="55"/>
      <c r="L163" s="55"/>
      <c r="M163" s="70"/>
      <c r="N163" s="71"/>
      <c r="O163" s="71"/>
      <c r="P163" s="70"/>
    </row>
    <row r="164" spans="3:16" x14ac:dyDescent="0.2">
      <c r="C164" s="9"/>
      <c r="D164" s="61"/>
      <c r="H164" s="55"/>
      <c r="I164" s="55"/>
      <c r="J164" s="55"/>
      <c r="K164" s="55"/>
      <c r="L164" s="55"/>
      <c r="M164" s="70"/>
      <c r="N164" s="71"/>
      <c r="O164" s="71"/>
      <c r="P164" s="70"/>
    </row>
    <row r="165" spans="3:16" x14ac:dyDescent="0.2">
      <c r="C165" s="9"/>
      <c r="D165" s="61"/>
      <c r="H165" s="55"/>
      <c r="I165" s="55"/>
      <c r="J165" s="55"/>
      <c r="K165" s="55"/>
      <c r="L165" s="55"/>
      <c r="M165" s="70"/>
      <c r="N165" s="71"/>
      <c r="O165" s="71"/>
      <c r="P165" s="70"/>
    </row>
    <row r="166" spans="3:16" x14ac:dyDescent="0.2">
      <c r="C166" s="9"/>
      <c r="D166" s="61"/>
      <c r="H166" s="55"/>
      <c r="I166" s="55"/>
      <c r="J166" s="55"/>
      <c r="K166" s="55"/>
      <c r="L166" s="55"/>
      <c r="M166" s="70"/>
      <c r="N166" s="71"/>
      <c r="O166" s="71"/>
      <c r="P166" s="70"/>
    </row>
    <row r="167" spans="3:16" x14ac:dyDescent="0.2">
      <c r="C167" s="9"/>
      <c r="D167" s="61"/>
      <c r="H167" s="55"/>
      <c r="I167" s="55"/>
      <c r="J167" s="55"/>
      <c r="K167" s="55"/>
      <c r="L167" s="55"/>
      <c r="M167" s="70"/>
      <c r="N167" s="71"/>
      <c r="O167" s="71"/>
      <c r="P167" s="70"/>
    </row>
    <row r="168" spans="3:16" x14ac:dyDescent="0.2">
      <c r="C168" s="9"/>
      <c r="D168" s="33"/>
      <c r="H168" s="55"/>
      <c r="I168" s="55"/>
      <c r="J168" s="55"/>
      <c r="K168" s="55"/>
      <c r="L168" s="55"/>
      <c r="M168" s="70"/>
      <c r="N168" s="71"/>
      <c r="O168" s="71"/>
      <c r="P168" s="70"/>
    </row>
    <row r="169" spans="3:16" x14ac:dyDescent="0.2">
      <c r="C169" s="9"/>
      <c r="D169" s="33"/>
      <c r="H169" s="55"/>
      <c r="I169" s="55"/>
      <c r="J169" s="55"/>
      <c r="K169" s="55"/>
      <c r="L169" s="55"/>
      <c r="M169" s="70"/>
      <c r="N169" s="71"/>
      <c r="O169" s="71"/>
      <c r="P169" s="70"/>
    </row>
    <row r="170" spans="3:16" x14ac:dyDescent="0.2">
      <c r="C170" s="9"/>
      <c r="D170" s="33"/>
      <c r="H170" s="57"/>
      <c r="I170" s="57"/>
      <c r="J170" s="57"/>
      <c r="K170" s="57"/>
      <c r="L170" s="57"/>
      <c r="M170" s="70">
        <f>E126*$D$13</f>
        <v>0</v>
      </c>
      <c r="N170" s="71"/>
      <c r="O170" s="71"/>
      <c r="P170" s="70"/>
    </row>
    <row r="171" spans="3:16" x14ac:dyDescent="0.2">
      <c r="C171" s="9"/>
      <c r="D171" s="33"/>
      <c r="H171" s="57"/>
      <c r="I171" s="57"/>
      <c r="J171" s="57"/>
      <c r="K171" s="57"/>
      <c r="L171" s="57"/>
      <c r="M171" s="70">
        <f>E127*$D$14</f>
        <v>0</v>
      </c>
      <c r="N171" s="70">
        <f>E126*$E$13</f>
        <v>0</v>
      </c>
      <c r="O171" s="70">
        <f>E126*$F$13</f>
        <v>0</v>
      </c>
      <c r="P171" s="70">
        <f>M170+N171*296+O171*23</f>
        <v>0</v>
      </c>
    </row>
    <row r="172" spans="3:16" x14ac:dyDescent="0.2">
      <c r="C172" s="9"/>
      <c r="D172" s="33"/>
      <c r="H172" s="54"/>
      <c r="I172" s="54"/>
      <c r="J172" s="54"/>
      <c r="K172" s="54"/>
      <c r="L172" s="33"/>
      <c r="M172" s="33"/>
      <c r="N172" s="70">
        <f>E127*$E$14</f>
        <v>0</v>
      </c>
      <c r="O172" s="70">
        <f>E127*$F$14</f>
        <v>0</v>
      </c>
      <c r="P172" s="70">
        <f>M171+N172*296+O172*23</f>
        <v>0</v>
      </c>
    </row>
    <row r="173" spans="3:16" x14ac:dyDescent="0.2">
      <c r="C173" s="9"/>
      <c r="D173" s="33"/>
      <c r="H173" s="54"/>
      <c r="I173" s="54"/>
      <c r="J173" s="54"/>
      <c r="K173" s="54"/>
      <c r="L173" s="33"/>
      <c r="M173" s="33"/>
      <c r="N173" s="33"/>
      <c r="O173" s="33"/>
    </row>
    <row r="174" spans="3:16" x14ac:dyDescent="0.2">
      <c r="C174" s="9"/>
      <c r="H174" s="54"/>
      <c r="I174" s="54"/>
      <c r="J174" s="54"/>
      <c r="K174" s="54"/>
      <c r="L174" s="33"/>
      <c r="M174" s="33"/>
      <c r="N174" s="33"/>
      <c r="O174" s="61"/>
      <c r="P174"/>
    </row>
    <row r="175" spans="3:16" x14ac:dyDescent="0.2">
      <c r="C175" s="9"/>
      <c r="H175" s="54"/>
      <c r="I175" s="54"/>
      <c r="J175" s="54"/>
      <c r="K175" s="54"/>
      <c r="L175" s="33"/>
      <c r="M175" s="33"/>
      <c r="N175" s="33"/>
      <c r="O175" s="72"/>
    </row>
    <row r="176" spans="3:16" x14ac:dyDescent="0.2">
      <c r="H176" s="58"/>
      <c r="I176" s="58"/>
      <c r="J176" s="58"/>
      <c r="K176" s="58"/>
      <c r="L176" s="47"/>
      <c r="M176" s="47"/>
      <c r="N176" s="33"/>
      <c r="O176" s="33"/>
    </row>
    <row r="177" spans="8:17" x14ac:dyDescent="0.2">
      <c r="H177" s="58"/>
      <c r="I177" s="58"/>
      <c r="J177" s="58"/>
      <c r="K177" s="58"/>
      <c r="L177" s="47"/>
      <c r="M177" s="47"/>
      <c r="N177" s="73"/>
      <c r="O177" s="74"/>
      <c r="P177" s="47"/>
    </row>
    <row r="178" spans="8:17" x14ac:dyDescent="0.2">
      <c r="H178" s="58"/>
      <c r="I178" s="58"/>
      <c r="J178" s="58"/>
      <c r="K178" s="58"/>
      <c r="L178" s="47"/>
      <c r="M178" s="47"/>
      <c r="N178" s="47"/>
      <c r="O178" s="49"/>
      <c r="P178" s="33"/>
    </row>
    <row r="179" spans="8:17" x14ac:dyDescent="0.2">
      <c r="H179" s="58"/>
      <c r="I179" s="58"/>
      <c r="J179" s="58"/>
      <c r="K179" s="58"/>
      <c r="L179" s="47"/>
      <c r="M179" s="47"/>
      <c r="N179" s="47"/>
      <c r="O179" s="47"/>
      <c r="P179" s="33"/>
    </row>
    <row r="180" spans="8:17" x14ac:dyDescent="0.2">
      <c r="H180" s="58"/>
      <c r="I180" s="58"/>
      <c r="J180" s="58"/>
      <c r="K180" s="58"/>
      <c r="L180" s="47"/>
      <c r="M180" s="47"/>
      <c r="N180" s="48"/>
      <c r="O180" s="74"/>
      <c r="P180" s="33"/>
    </row>
    <row r="181" spans="8:17" x14ac:dyDescent="0.2">
      <c r="H181" s="58"/>
      <c r="I181" s="58"/>
      <c r="J181" s="58"/>
      <c r="K181" s="58"/>
      <c r="L181" s="47"/>
      <c r="M181" s="47"/>
      <c r="N181" s="47"/>
      <c r="O181" s="49"/>
      <c r="P181" s="33"/>
      <c r="Q181" s="21"/>
    </row>
    <row r="182" spans="8:17" x14ac:dyDescent="0.2">
      <c r="H182" s="58"/>
      <c r="I182" s="58"/>
      <c r="J182" s="58"/>
      <c r="K182" s="58"/>
      <c r="L182" s="47"/>
      <c r="M182" s="47"/>
      <c r="N182" s="47"/>
      <c r="O182" s="47"/>
      <c r="P182" s="33"/>
      <c r="Q182"/>
    </row>
    <row r="183" spans="8:17" x14ac:dyDescent="0.2">
      <c r="H183" s="58"/>
      <c r="I183" s="58"/>
      <c r="J183" s="58"/>
      <c r="K183" s="58"/>
      <c r="L183" s="47"/>
      <c r="M183" s="47"/>
      <c r="N183" s="48"/>
      <c r="O183" s="49"/>
      <c r="P183" s="33"/>
      <c r="Q183"/>
    </row>
    <row r="184" spans="8:17" x14ac:dyDescent="0.2">
      <c r="H184" s="54"/>
      <c r="I184" s="54"/>
      <c r="J184" s="54"/>
      <c r="K184" s="54"/>
      <c r="L184" s="36"/>
      <c r="M184" s="33"/>
      <c r="N184" s="47"/>
      <c r="O184" s="49"/>
      <c r="P184" s="33"/>
      <c r="Q184"/>
    </row>
    <row r="185" spans="8:17" x14ac:dyDescent="0.2">
      <c r="H185" s="54"/>
      <c r="I185" s="54"/>
      <c r="J185" s="54"/>
      <c r="K185" s="54"/>
      <c r="L185" s="33"/>
      <c r="M185" s="33"/>
      <c r="N185" s="33"/>
      <c r="O185" s="33"/>
      <c r="P185" s="33"/>
      <c r="Q185" s="47"/>
    </row>
    <row r="186" spans="8:17" x14ac:dyDescent="0.2">
      <c r="H186" s="54"/>
      <c r="I186" s="54"/>
      <c r="J186" s="54"/>
      <c r="K186" s="54"/>
      <c r="L186" s="33"/>
      <c r="M186" s="33"/>
      <c r="N186" s="42"/>
      <c r="O186" s="36"/>
      <c r="P186" s="33"/>
      <c r="Q186" s="47"/>
    </row>
    <row r="187" spans="8:17" x14ac:dyDescent="0.2">
      <c r="H187" s="54"/>
      <c r="I187" s="54"/>
      <c r="J187" s="54"/>
      <c r="K187" s="54"/>
      <c r="L187" s="33"/>
      <c r="M187" s="33"/>
      <c r="N187" s="33"/>
      <c r="O187" s="34"/>
      <c r="Q187" s="47"/>
    </row>
    <row r="188" spans="8:17" x14ac:dyDescent="0.2">
      <c r="L188" s="33"/>
      <c r="M188" s="33"/>
      <c r="N188" s="33"/>
      <c r="O188" s="33"/>
      <c r="Q188" s="33"/>
    </row>
    <row r="189" spans="8:17" x14ac:dyDescent="0.2">
      <c r="L189" s="33"/>
      <c r="M189" s="33"/>
      <c r="N189" s="42"/>
      <c r="O189" s="36"/>
      <c r="Q189" s="33"/>
    </row>
    <row r="190" spans="8:17" x14ac:dyDescent="0.2">
      <c r="L190" s="33"/>
      <c r="M190" s="33"/>
      <c r="N190" s="33"/>
      <c r="O190" s="34"/>
      <c r="Q190" s="33"/>
    </row>
    <row r="191" spans="8:17" x14ac:dyDescent="0.2">
      <c r="H191" s="33"/>
      <c r="I191" s="33"/>
      <c r="J191" s="33"/>
      <c r="K191" s="33"/>
      <c r="L191" s="33"/>
      <c r="M191" s="33"/>
      <c r="N191" s="33"/>
      <c r="O191" s="33"/>
      <c r="Q191" s="33"/>
    </row>
    <row r="192" spans="8:17" x14ac:dyDescent="0.2">
      <c r="H192" s="33"/>
      <c r="I192" s="33"/>
      <c r="J192" s="33"/>
      <c r="K192" s="33"/>
      <c r="L192" s="33"/>
      <c r="M192" s="33"/>
      <c r="N192" s="33"/>
      <c r="O192" s="33"/>
      <c r="Q192" s="33"/>
    </row>
    <row r="193" spans="8:17" x14ac:dyDescent="0.2">
      <c r="H193" s="33"/>
      <c r="I193" s="33"/>
      <c r="J193" s="33"/>
      <c r="K193" s="33"/>
      <c r="L193" s="33"/>
      <c r="M193" s="33"/>
      <c r="N193" s="33"/>
      <c r="O193" s="33"/>
      <c r="Q193" s="33"/>
    </row>
    <row r="194" spans="8:17" x14ac:dyDescent="0.2">
      <c r="H194" s="33"/>
      <c r="I194" s="33"/>
      <c r="J194" s="33"/>
      <c r="K194" s="33"/>
      <c r="L194" s="33"/>
      <c r="M194" s="33"/>
      <c r="N194" s="33"/>
      <c r="O194" s="33"/>
      <c r="Q194" s="33"/>
    </row>
    <row r="195" spans="8:17" x14ac:dyDescent="0.2">
      <c r="L195" s="33"/>
      <c r="M195" s="33"/>
      <c r="N195" s="33"/>
      <c r="O195" s="33"/>
    </row>
    <row r="196" spans="8:17" x14ac:dyDescent="0.2">
      <c r="L196" s="33"/>
      <c r="M196" s="33"/>
      <c r="N196" s="33"/>
      <c r="O196" s="33"/>
    </row>
    <row r="197" spans="8:17" x14ac:dyDescent="0.2">
      <c r="L197" s="33"/>
      <c r="M197" s="33"/>
      <c r="N197" s="33"/>
      <c r="O197" s="33"/>
    </row>
    <row r="198" spans="8:17" x14ac:dyDescent="0.2">
      <c r="L198" s="33"/>
      <c r="M198" s="33"/>
      <c r="N198" s="33"/>
      <c r="O198" s="33"/>
    </row>
    <row r="199" spans="8:17" x14ac:dyDescent="0.2">
      <c r="L199" s="33"/>
      <c r="M199" s="33"/>
      <c r="N199" s="33"/>
      <c r="O199" s="33"/>
    </row>
    <row r="200" spans="8:17" x14ac:dyDescent="0.2">
      <c r="L200" s="33"/>
      <c r="M200" s="33"/>
      <c r="N200" s="33"/>
      <c r="O200" s="33"/>
    </row>
    <row r="201" spans="8:17" x14ac:dyDescent="0.2">
      <c r="L201" s="33"/>
      <c r="M201" s="33"/>
      <c r="N201" s="33"/>
      <c r="O201" s="33"/>
    </row>
    <row r="202" spans="8:17" x14ac:dyDescent="0.2">
      <c r="L202" s="33"/>
      <c r="M202" s="33"/>
      <c r="N202" s="33"/>
      <c r="O202" s="33"/>
    </row>
    <row r="203" spans="8:17" x14ac:dyDescent="0.2">
      <c r="L203" s="33"/>
      <c r="M203" s="33"/>
      <c r="N203" s="33"/>
      <c r="O203" s="33"/>
    </row>
    <row r="204" spans="8:17" x14ac:dyDescent="0.2">
      <c r="L204" s="33"/>
      <c r="M204" s="33"/>
      <c r="N204" s="33"/>
      <c r="O204" s="33"/>
    </row>
    <row r="205" spans="8:17" x14ac:dyDescent="0.2">
      <c r="L205" s="33"/>
      <c r="M205" s="33"/>
      <c r="N205" s="33"/>
      <c r="O205" s="33"/>
    </row>
    <row r="206" spans="8:17" x14ac:dyDescent="0.2">
      <c r="L206" s="33"/>
      <c r="M206" s="33"/>
      <c r="N206" s="33"/>
      <c r="O206" s="33"/>
    </row>
    <row r="207" spans="8:17" x14ac:dyDescent="0.2">
      <c r="L207" s="33"/>
      <c r="M207" s="33"/>
      <c r="N207" s="33"/>
      <c r="O207" s="33"/>
    </row>
    <row r="208" spans="8:17" x14ac:dyDescent="0.2">
      <c r="N208" s="33"/>
      <c r="O208" s="33"/>
    </row>
  </sheetData>
  <mergeCells count="13">
    <mergeCell ref="I94:J94"/>
    <mergeCell ref="K94:L94"/>
    <mergeCell ref="H66:I66"/>
    <mergeCell ref="A1:J1"/>
    <mergeCell ref="H62:I62"/>
    <mergeCell ref="H63:I63"/>
    <mergeCell ref="H64:I64"/>
    <mergeCell ref="H65:I65"/>
    <mergeCell ref="H27:I27"/>
    <mergeCell ref="H28:I28"/>
    <mergeCell ref="H29:I29"/>
    <mergeCell ref="H30:I30"/>
    <mergeCell ref="H31:I31"/>
  </mergeCells>
  <pageMargins left="0.7" right="0.7" top="0.75" bottom="0.75" header="0.3" footer="0.3"/>
  <pageSetup scale="2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topLeftCell="A7" workbookViewId="0">
      <selection activeCell="D56" sqref="D56"/>
    </sheetView>
  </sheetViews>
  <sheetFormatPr defaultColWidth="8.85546875" defaultRowHeight="12.75" x14ac:dyDescent="0.2"/>
  <cols>
    <col min="1" max="1" width="11.5703125" style="8" customWidth="1"/>
    <col min="2" max="2" width="22" style="8" bestFit="1" customWidth="1"/>
    <col min="3" max="3" width="14.85546875" style="8" customWidth="1"/>
    <col min="4" max="4" width="15.42578125" style="8" customWidth="1"/>
    <col min="5" max="6" width="11.85546875" style="8" customWidth="1"/>
    <col min="7" max="7" width="16.5703125" style="8" bestFit="1" customWidth="1"/>
    <col min="8" max="8" width="8.85546875" style="8"/>
    <col min="9" max="9" width="9.140625" style="8" bestFit="1" customWidth="1"/>
    <col min="10" max="10" width="8.85546875" style="8"/>
    <col min="11" max="11" width="10.140625" style="8" bestFit="1" customWidth="1"/>
    <col min="12" max="12" width="8.85546875" style="8"/>
    <col min="13" max="13" width="14" style="8" bestFit="1" customWidth="1"/>
    <col min="14" max="16384" width="8.85546875" style="8"/>
  </cols>
  <sheetData>
    <row r="1" spans="1:7" ht="15.75" x14ac:dyDescent="0.25">
      <c r="C1" s="2" t="s">
        <v>6</v>
      </c>
    </row>
    <row r="2" spans="1:7" ht="15.75" x14ac:dyDescent="0.25">
      <c r="C2" s="2"/>
    </row>
    <row r="3" spans="1:7" ht="15.75" x14ac:dyDescent="0.25">
      <c r="C3" s="2"/>
      <c r="E3" s="9" t="s">
        <v>8</v>
      </c>
      <c r="F3" s="9"/>
      <c r="G3" s="7"/>
    </row>
    <row r="4" spans="1:7" x14ac:dyDescent="0.2">
      <c r="A4" s="6"/>
      <c r="B4" s="6"/>
      <c r="C4" s="10" t="s">
        <v>3</v>
      </c>
      <c r="D4" s="10" t="s">
        <v>18</v>
      </c>
      <c r="E4" s="10" t="s">
        <v>5</v>
      </c>
      <c r="F4" s="7"/>
      <c r="G4" s="7"/>
    </row>
    <row r="5" spans="1:7" x14ac:dyDescent="0.2">
      <c r="A5" s="6" t="s">
        <v>0</v>
      </c>
      <c r="B5" s="6" t="s">
        <v>1</v>
      </c>
      <c r="C5" s="10">
        <v>6040</v>
      </c>
      <c r="D5" s="10">
        <v>0.04</v>
      </c>
      <c r="E5" s="10">
        <v>0.05</v>
      </c>
      <c r="F5" s="7" t="s">
        <v>7</v>
      </c>
      <c r="G5" s="7"/>
    </row>
    <row r="6" spans="1:7" x14ac:dyDescent="0.2">
      <c r="A6" s="6" t="s">
        <v>0</v>
      </c>
      <c r="B6" s="6" t="s">
        <v>2</v>
      </c>
      <c r="C6" s="10">
        <v>6040</v>
      </c>
      <c r="D6" s="10">
        <v>3.5</v>
      </c>
      <c r="E6" s="10">
        <v>0.06</v>
      </c>
      <c r="F6" s="7" t="s">
        <v>7</v>
      </c>
      <c r="G6" s="7"/>
    </row>
    <row r="7" spans="1:7" x14ac:dyDescent="0.2">
      <c r="A7" s="6" t="s">
        <v>28</v>
      </c>
      <c r="B7" s="6" t="s">
        <v>19</v>
      </c>
      <c r="C7" s="43">
        <f>10.21/2.0205</f>
        <v>5.0532046523137835</v>
      </c>
      <c r="D7" s="43">
        <f>0.26/1000/2.0205</f>
        <v>1.2868101954961644E-4</v>
      </c>
      <c r="E7" s="43">
        <f>0.26/1000/2.0205</f>
        <v>1.2868101954961644E-4</v>
      </c>
      <c r="F7" s="7" t="s">
        <v>29</v>
      </c>
      <c r="G7" s="11"/>
    </row>
    <row r="8" spans="1:7" x14ac:dyDescent="0.2">
      <c r="A8" s="6" t="s">
        <v>34</v>
      </c>
      <c r="B8" s="6" t="s">
        <v>27</v>
      </c>
      <c r="C8" s="43">
        <f>(8.87*0.9+5.75*0.1)/2.0205</f>
        <v>4.2355852511754515</v>
      </c>
      <c r="D8" s="43">
        <f>0.22/1000/2.0205</f>
        <v>1.0888393961890621E-4</v>
      </c>
      <c r="E8" s="43">
        <f>0.22/1000/2.0205</f>
        <v>1.0888393961890621E-4</v>
      </c>
      <c r="F8" s="7" t="s">
        <v>29</v>
      </c>
      <c r="G8" s="11"/>
    </row>
    <row r="9" spans="1:7" x14ac:dyDescent="0.2">
      <c r="A9" s="6" t="s">
        <v>35</v>
      </c>
      <c r="B9" s="6" t="s">
        <v>27</v>
      </c>
      <c r="C9" s="43">
        <f>(8.78*0.15+5.75*0.85)/2.0205</f>
        <v>3.0707745607522887</v>
      </c>
      <c r="D9" s="43">
        <f>0.22/1000/2.0205</f>
        <v>1.0888393961890621E-4</v>
      </c>
      <c r="E9" s="43">
        <f>0.22/1000/2.0205</f>
        <v>1.0888393961890621E-4</v>
      </c>
      <c r="F9" s="7" t="s">
        <v>29</v>
      </c>
      <c r="G9" s="11"/>
    </row>
    <row r="10" spans="1:7" x14ac:dyDescent="0.2">
      <c r="A10" s="6" t="s">
        <v>71</v>
      </c>
      <c r="B10" s="6" t="s">
        <v>70</v>
      </c>
      <c r="C10" s="43">
        <f>8.31/2.0205</f>
        <v>4.1128433556050483</v>
      </c>
      <c r="D10" s="43">
        <f>0.11/1000/2.0205</f>
        <v>5.4441969809453104E-5</v>
      </c>
      <c r="E10" s="43">
        <f t="shared" ref="E10" si="0">7.06/1000/2.0205</f>
        <v>3.4941846077703531E-3</v>
      </c>
      <c r="F10" s="7" t="s">
        <v>29</v>
      </c>
      <c r="G10" s="11"/>
    </row>
    <row r="11" spans="1:7" x14ac:dyDescent="0.2">
      <c r="A11" s="6" t="s">
        <v>13</v>
      </c>
      <c r="B11" s="6" t="s">
        <v>16</v>
      </c>
      <c r="C11" s="10">
        <v>120000</v>
      </c>
      <c r="D11" s="10">
        <v>94</v>
      </c>
      <c r="E11" s="10">
        <v>2.2999999999999998</v>
      </c>
      <c r="F11" s="7" t="s">
        <v>15</v>
      </c>
      <c r="G11" s="7"/>
    </row>
    <row r="12" spans="1:7" x14ac:dyDescent="0.2">
      <c r="A12" s="6" t="s">
        <v>14</v>
      </c>
      <c r="B12" s="6" t="s">
        <v>16</v>
      </c>
      <c r="C12" s="10">
        <v>1982</v>
      </c>
      <c r="D12" s="10">
        <v>3.5999999999999997E-2</v>
      </c>
      <c r="E12" s="10">
        <v>1.34E-2</v>
      </c>
      <c r="F12" s="7" t="s">
        <v>17</v>
      </c>
      <c r="G12" s="7"/>
    </row>
    <row r="13" spans="1:7" x14ac:dyDescent="0.2">
      <c r="A13" s="12" t="s">
        <v>30</v>
      </c>
      <c r="B13" s="12" t="s">
        <v>16</v>
      </c>
      <c r="C13" s="10">
        <f>C12*1.5</f>
        <v>2973</v>
      </c>
      <c r="D13" s="10">
        <f>D12*1.5</f>
        <v>5.3999999999999992E-2</v>
      </c>
      <c r="E13" s="10">
        <f>E12*1.5</f>
        <v>2.01E-2</v>
      </c>
      <c r="F13" s="7" t="s">
        <v>33</v>
      </c>
      <c r="G13" s="7"/>
    </row>
    <row r="14" spans="1:7" x14ac:dyDescent="0.2">
      <c r="A14" s="6" t="s">
        <v>31</v>
      </c>
      <c r="B14" s="6" t="s">
        <v>32</v>
      </c>
      <c r="C14" s="10">
        <f>C12*1.8</f>
        <v>3567.6</v>
      </c>
      <c r="D14" s="10">
        <f>D12*1.8</f>
        <v>6.4799999999999996E-2</v>
      </c>
      <c r="E14" s="10">
        <f>E12*1.8</f>
        <v>2.4120000000000003E-2</v>
      </c>
      <c r="F14" s="7" t="s">
        <v>33</v>
      </c>
      <c r="G14" s="7"/>
    </row>
    <row r="16" spans="1:7" x14ac:dyDescent="0.2">
      <c r="A16" s="4" t="s">
        <v>9</v>
      </c>
    </row>
    <row r="17" spans="1:13" x14ac:dyDescent="0.2">
      <c r="A17" s="8" t="s">
        <v>3</v>
      </c>
      <c r="B17" s="8" t="s">
        <v>10</v>
      </c>
    </row>
    <row r="18" spans="1:13" x14ac:dyDescent="0.2">
      <c r="A18" s="8" t="s">
        <v>4</v>
      </c>
      <c r="B18" s="8" t="s">
        <v>11</v>
      </c>
    </row>
    <row r="19" spans="1:13" x14ac:dyDescent="0.2">
      <c r="A19" s="8" t="s">
        <v>5</v>
      </c>
      <c r="B19" s="8" t="s">
        <v>12</v>
      </c>
    </row>
    <row r="20" spans="1:13" x14ac:dyDescent="0.2">
      <c r="G20" s="17"/>
    </row>
    <row r="22" spans="1:13" ht="15.75" x14ac:dyDescent="0.25">
      <c r="A22" s="2" t="s">
        <v>25</v>
      </c>
    </row>
    <row r="23" spans="1:13" ht="15.75" x14ac:dyDescent="0.25">
      <c r="A23" s="4" t="s">
        <v>64</v>
      </c>
      <c r="D23" s="2"/>
      <c r="F23" s="8" t="s">
        <v>8</v>
      </c>
    </row>
    <row r="24" spans="1:13" x14ac:dyDescent="0.2">
      <c r="A24" s="28" t="s">
        <v>65</v>
      </c>
      <c r="B24" s="6"/>
      <c r="C24" s="10" t="s">
        <v>20</v>
      </c>
      <c r="D24" s="10" t="s">
        <v>3</v>
      </c>
      <c r="E24" s="10" t="s">
        <v>18</v>
      </c>
      <c r="F24" s="10" t="s">
        <v>5</v>
      </c>
      <c r="G24" s="10" t="s">
        <v>21</v>
      </c>
      <c r="I24" s="27" t="s">
        <v>53</v>
      </c>
    </row>
    <row r="25" spans="1:13" x14ac:dyDescent="0.2">
      <c r="A25" s="6" t="s">
        <v>0</v>
      </c>
      <c r="B25" s="6" t="s">
        <v>1</v>
      </c>
      <c r="C25" s="5">
        <v>0</v>
      </c>
      <c r="D25" s="14">
        <f>C25*$C$5</f>
        <v>0</v>
      </c>
      <c r="E25" s="18">
        <f>C25*$D$5</f>
        <v>0</v>
      </c>
      <c r="F25" s="18">
        <f>C25*$E$5</f>
        <v>0</v>
      </c>
      <c r="G25" s="14">
        <f t="shared" ref="G25:G37" si="1">D25+E25*296+F25*23</f>
        <v>0</v>
      </c>
      <c r="M25" s="15"/>
    </row>
    <row r="26" spans="1:13" x14ac:dyDescent="0.2">
      <c r="A26" s="6" t="s">
        <v>0</v>
      </c>
      <c r="B26" s="6" t="s">
        <v>2</v>
      </c>
      <c r="C26" s="5">
        <v>91554</v>
      </c>
      <c r="D26" s="14">
        <f>C26*$C$6</f>
        <v>552986160</v>
      </c>
      <c r="E26" s="18">
        <f>C26*$D$6</f>
        <v>320439</v>
      </c>
      <c r="F26" s="18">
        <f>C26*$E$6</f>
        <v>5493.24</v>
      </c>
      <c r="G26" s="14">
        <f t="shared" si="1"/>
        <v>647962448.51999998</v>
      </c>
      <c r="I26" s="19">
        <f>G26/G41</f>
        <v>0.69340908257669953</v>
      </c>
      <c r="J26" s="8" t="s">
        <v>57</v>
      </c>
    </row>
    <row r="27" spans="1:13" x14ac:dyDescent="0.2">
      <c r="A27" s="6" t="s">
        <v>28</v>
      </c>
      <c r="B27" s="6" t="s">
        <v>19</v>
      </c>
      <c r="C27" s="20">
        <v>69545</v>
      </c>
      <c r="D27" s="18">
        <f>C27*$C$7</f>
        <v>351425.11754516209</v>
      </c>
      <c r="E27" s="14">
        <f>C27*7*20300*$D$7/1000000</f>
        <v>1.2716701658005445</v>
      </c>
      <c r="F27" s="14">
        <f>C27*7*20300*$E$7/1000000</f>
        <v>1.2716701658005445</v>
      </c>
      <c r="G27" s="14">
        <f t="shared" si="1"/>
        <v>351830.78032805247</v>
      </c>
      <c r="I27" s="19">
        <f>(G36+G37)/G41</f>
        <v>0.15534923632259409</v>
      </c>
      <c r="J27" s="8" t="s">
        <v>58</v>
      </c>
      <c r="M27" s="17"/>
    </row>
    <row r="28" spans="1:13" x14ac:dyDescent="0.2">
      <c r="A28" s="6" t="s">
        <v>34</v>
      </c>
      <c r="B28" s="6" t="s">
        <v>27</v>
      </c>
      <c r="C28" s="20">
        <v>187153</v>
      </c>
      <c r="D28" s="18">
        <f>C28*$C$8</f>
        <v>792702.48651323922</v>
      </c>
      <c r="E28" s="14">
        <f>C28*7*20300*$D$8/1000000</f>
        <v>2.8957075407077455</v>
      </c>
      <c r="F28" s="14">
        <f>C28*7*20300*$E$8/1000000</f>
        <v>2.8957075407077455</v>
      </c>
      <c r="G28" s="14">
        <f t="shared" si="1"/>
        <v>793626.21721872501</v>
      </c>
      <c r="I28" s="19">
        <f>G32/G41</f>
        <v>0.1242987793080122</v>
      </c>
      <c r="J28" s="8" t="s">
        <v>55</v>
      </c>
    </row>
    <row r="29" spans="1:13" x14ac:dyDescent="0.2">
      <c r="A29" s="6" t="s">
        <v>35</v>
      </c>
      <c r="B29" s="6" t="s">
        <v>27</v>
      </c>
      <c r="C29" s="20">
        <v>106416</v>
      </c>
      <c r="D29" s="18">
        <f>C29*$C$9</f>
        <v>326779.54565701558</v>
      </c>
      <c r="E29" s="14">
        <f>C29*7*20300*$D$9/1000000</f>
        <v>1.6465117505567928</v>
      </c>
      <c r="F29" s="14">
        <f>C29*7*20300*$E$9/1000000</f>
        <v>1.6465117505567928</v>
      </c>
      <c r="G29" s="14">
        <f>D29+E29*296+F29*23</f>
        <v>327304.78290544316</v>
      </c>
      <c r="I29" s="19">
        <f>(G31+G33)/G41</f>
        <v>2.2659830543088958E-2</v>
      </c>
      <c r="J29" s="8" t="s">
        <v>56</v>
      </c>
      <c r="M29" s="17"/>
    </row>
    <row r="30" spans="1:13" x14ac:dyDescent="0.2">
      <c r="A30" s="6" t="s">
        <v>71</v>
      </c>
      <c r="B30" s="6" t="s">
        <v>69</v>
      </c>
      <c r="C30" s="20">
        <v>45960</v>
      </c>
      <c r="D30" s="18">
        <f>C30*C10</f>
        <v>189026.28062360801</v>
      </c>
      <c r="E30" s="14">
        <f>C30*D10</f>
        <v>2.5021529324424647</v>
      </c>
      <c r="F30" s="14">
        <f>C30*E10</f>
        <v>160.59272457312542</v>
      </c>
      <c r="G30" s="14">
        <f>D30+E30*296+F30*23</f>
        <v>193460.55055679285</v>
      </c>
      <c r="I30" s="19">
        <f>(G27+G28+G29+G30)/G41</f>
        <v>1.7830874313052233E-3</v>
      </c>
      <c r="J30" s="8" t="s">
        <v>54</v>
      </c>
    </row>
    <row r="31" spans="1:13" x14ac:dyDescent="0.2">
      <c r="A31" s="6" t="s">
        <v>13</v>
      </c>
      <c r="B31" s="6" t="s">
        <v>47</v>
      </c>
      <c r="C31" s="20">
        <v>25110300</v>
      </c>
      <c r="D31" s="14">
        <f>C31*$C$11/1000000</f>
        <v>3013236</v>
      </c>
      <c r="E31" s="18">
        <f>C31*$D$11/1000000</f>
        <v>2360.3681999999999</v>
      </c>
      <c r="F31" s="18">
        <f>C31*$E$11/1000000</f>
        <v>57.753689999999992</v>
      </c>
      <c r="G31" s="14">
        <f>D31+E31*296+F31*23</f>
        <v>3713233.3220699998</v>
      </c>
      <c r="I31" s="19">
        <f>(G38+G39)/G41</f>
        <v>2.4999838183001315E-3</v>
      </c>
      <c r="J31" s="8" t="s">
        <v>59</v>
      </c>
    </row>
    <row r="32" spans="1:13" x14ac:dyDescent="0.2">
      <c r="A32" s="6" t="s">
        <v>13</v>
      </c>
      <c r="B32" s="6" t="s">
        <v>48</v>
      </c>
      <c r="C32" s="5">
        <v>785465000</v>
      </c>
      <c r="D32" s="14">
        <f>C32*$C$11/1000000</f>
        <v>94255800</v>
      </c>
      <c r="E32" s="18">
        <f>C32*$D$11/1000000</f>
        <v>73833.710000000006</v>
      </c>
      <c r="F32" s="18">
        <f>C32*$E$11/1000000</f>
        <v>1806.5694999999998</v>
      </c>
      <c r="G32" s="14">
        <f>D32+E32*296+F32*23</f>
        <v>116152129.25849999</v>
      </c>
    </row>
    <row r="33" spans="1:11" x14ac:dyDescent="0.2">
      <c r="A33" s="6" t="s">
        <v>13</v>
      </c>
      <c r="B33" s="6" t="s">
        <v>49</v>
      </c>
      <c r="C33" s="5">
        <v>118081000</v>
      </c>
      <c r="D33" s="14">
        <f>C33*$C$11/1000000</f>
        <v>14169720</v>
      </c>
      <c r="E33" s="18">
        <f>C33*$D$11/1000000</f>
        <v>11099.614</v>
      </c>
      <c r="F33" s="18">
        <f>C33*$E$11/1000000</f>
        <v>271.58629999999999</v>
      </c>
      <c r="G33" s="14">
        <f>D33+E33*296+F33*23</f>
        <v>17461452.2289</v>
      </c>
    </row>
    <row r="34" spans="1:11" x14ac:dyDescent="0.2">
      <c r="A34" s="6"/>
      <c r="B34" s="6"/>
      <c r="C34" s="5"/>
      <c r="D34" s="14"/>
      <c r="E34" s="18"/>
      <c r="F34" s="18"/>
      <c r="G34" s="14"/>
    </row>
    <row r="35" spans="1:11" x14ac:dyDescent="0.2">
      <c r="A35" s="28" t="s">
        <v>66</v>
      </c>
      <c r="B35" s="6"/>
      <c r="C35" s="5"/>
      <c r="D35" s="14"/>
      <c r="E35" s="18"/>
      <c r="F35" s="18"/>
      <c r="G35" s="14"/>
      <c r="I35" s="19"/>
    </row>
    <row r="36" spans="1:11" x14ac:dyDescent="0.2">
      <c r="A36" s="6" t="s">
        <v>14</v>
      </c>
      <c r="B36" s="3" t="s">
        <v>50</v>
      </c>
      <c r="C36" s="5">
        <v>50919</v>
      </c>
      <c r="D36" s="14">
        <f>C36*$C$12</f>
        <v>100921458</v>
      </c>
      <c r="E36" s="18">
        <f>C36*$D$12</f>
        <v>1833.0839999999998</v>
      </c>
      <c r="F36" s="18">
        <f>C36*$E$12</f>
        <v>682.31460000000004</v>
      </c>
      <c r="G36" s="14">
        <f t="shared" si="1"/>
        <v>101479744.09979999</v>
      </c>
    </row>
    <row r="37" spans="1:11" x14ac:dyDescent="0.2">
      <c r="A37" s="6" t="s">
        <v>14</v>
      </c>
      <c r="B37" s="3" t="s">
        <v>51</v>
      </c>
      <c r="C37" s="5">
        <v>21921</v>
      </c>
      <c r="D37" s="14">
        <f>C37*$C$12</f>
        <v>43447422</v>
      </c>
      <c r="E37" s="18">
        <f>C37*$D$12</f>
        <v>789.15599999999995</v>
      </c>
      <c r="F37" s="18">
        <f>C37*$E$12</f>
        <v>293.7414</v>
      </c>
      <c r="G37" s="14">
        <f t="shared" si="1"/>
        <v>43687768.228199996</v>
      </c>
      <c r="I37" s="19"/>
    </row>
    <row r="38" spans="1:11" x14ac:dyDescent="0.2">
      <c r="A38" s="12" t="s">
        <v>30</v>
      </c>
      <c r="B38" s="12" t="s">
        <v>16</v>
      </c>
      <c r="C38" s="16">
        <v>334.1</v>
      </c>
      <c r="D38" s="14">
        <f>C38*$C$13</f>
        <v>993279.3</v>
      </c>
      <c r="E38" s="14">
        <f>C38*$D$13</f>
        <v>18.041399999999999</v>
      </c>
      <c r="F38" s="14">
        <f>C38*$E$13</f>
        <v>6.7154100000000003</v>
      </c>
      <c r="G38" s="14">
        <f>D38+E38*296+F38*23</f>
        <v>998774.00883000006</v>
      </c>
    </row>
    <row r="39" spans="1:11" x14ac:dyDescent="0.2">
      <c r="A39" s="6" t="s">
        <v>31</v>
      </c>
      <c r="B39" s="6" t="s">
        <v>32</v>
      </c>
      <c r="C39" s="16">
        <v>372.8</v>
      </c>
      <c r="D39" s="14">
        <f>C39*$C$14</f>
        <v>1330001.28</v>
      </c>
      <c r="E39" s="14">
        <f>C39*$D$14</f>
        <v>24.157440000000001</v>
      </c>
      <c r="F39" s="14">
        <f>C39*$E$14</f>
        <v>8.9919360000000008</v>
      </c>
      <c r="G39" s="14">
        <f>D39+E39*296+F39*23</f>
        <v>1337358.696768</v>
      </c>
    </row>
    <row r="41" spans="1:11" x14ac:dyDescent="0.2">
      <c r="F41" s="8" t="s">
        <v>22</v>
      </c>
      <c r="G41" s="15">
        <f>SUM(G25:G39)</f>
        <v>934459130.6940769</v>
      </c>
      <c r="H41" s="8" t="s">
        <v>23</v>
      </c>
      <c r="I41" s="26">
        <f>SUM(I26:I37)</f>
        <v>1.0000000000000002</v>
      </c>
    </row>
    <row r="42" spans="1:11" x14ac:dyDescent="0.2">
      <c r="G42" s="25">
        <f>G41/2000</f>
        <v>467229.56534703844</v>
      </c>
      <c r="H42" s="8" t="s">
        <v>24</v>
      </c>
    </row>
    <row r="43" spans="1:11" customFormat="1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1" customFormat="1" x14ac:dyDescent="0.2">
      <c r="F44" s="23" t="s">
        <v>61</v>
      </c>
      <c r="G44" s="21">
        <f>G25+G26+G32</f>
        <v>764114577.77849996</v>
      </c>
      <c r="H44" s="8" t="s">
        <v>52</v>
      </c>
    </row>
    <row r="45" spans="1:11" customFormat="1" x14ac:dyDescent="0.2">
      <c r="G45" s="22">
        <f>G44/2000</f>
        <v>382057.28888924996</v>
      </c>
      <c r="H45" s="8" t="s">
        <v>43</v>
      </c>
    </row>
    <row r="46" spans="1:11" customFormat="1" x14ac:dyDescent="0.2">
      <c r="K46" s="21"/>
    </row>
    <row r="47" spans="1:11" customFormat="1" x14ac:dyDescent="0.2">
      <c r="F47" s="24" t="s">
        <v>60</v>
      </c>
      <c r="G47" s="21">
        <f>G36+G37</f>
        <v>145167512.32799998</v>
      </c>
      <c r="H47" s="8" t="s">
        <v>52</v>
      </c>
    </row>
    <row r="48" spans="1:11" customFormat="1" x14ac:dyDescent="0.2">
      <c r="G48" s="22">
        <f>G47/2000</f>
        <v>72583.756163999991</v>
      </c>
      <c r="H48" s="8" t="s">
        <v>43</v>
      </c>
      <c r="K48" s="22"/>
    </row>
    <row r="49" spans="1:9" customFormat="1" x14ac:dyDescent="0.2"/>
    <row r="50" spans="1:9" customFormat="1" x14ac:dyDescent="0.2">
      <c r="F50" s="24" t="s">
        <v>62</v>
      </c>
      <c r="G50" s="22">
        <f>G27+G28+G29+G30+G31+G33+G38+G39</f>
        <v>25177040.587577015</v>
      </c>
      <c r="H50" s="8" t="s">
        <v>52</v>
      </c>
    </row>
    <row r="51" spans="1:9" x14ac:dyDescent="0.2">
      <c r="A51"/>
      <c r="B51"/>
      <c r="C51"/>
      <c r="D51"/>
      <c r="E51"/>
      <c r="F51"/>
      <c r="G51" s="22">
        <f>G50/2000</f>
        <v>12588.520293788508</v>
      </c>
      <c r="H51" s="8" t="s">
        <v>43</v>
      </c>
      <c r="I51"/>
    </row>
    <row r="52" spans="1:9" ht="13.5" thickBot="1" x14ac:dyDescent="0.25">
      <c r="D52" s="17"/>
    </row>
    <row r="53" spans="1:9" x14ac:dyDescent="0.2">
      <c r="E53" s="29"/>
      <c r="F53" s="41" t="s">
        <v>67</v>
      </c>
      <c r="G53" s="30">
        <f>SUM(G26:G33)</f>
        <v>786955485.66047895</v>
      </c>
      <c r="H53" s="31" t="s">
        <v>52</v>
      </c>
    </row>
    <row r="54" spans="1:9" x14ac:dyDescent="0.2">
      <c r="E54" s="32"/>
      <c r="F54" s="33"/>
      <c r="G54" s="34">
        <f>G53/2000</f>
        <v>393477.74283023947</v>
      </c>
      <c r="H54" s="35" t="s">
        <v>43</v>
      </c>
    </row>
    <row r="55" spans="1:9" x14ac:dyDescent="0.2">
      <c r="E55" s="32"/>
      <c r="F55" s="33"/>
      <c r="G55" s="33"/>
      <c r="H55" s="35"/>
    </row>
    <row r="56" spans="1:9" x14ac:dyDescent="0.2">
      <c r="E56" s="32"/>
      <c r="F56" s="42" t="s">
        <v>68</v>
      </c>
      <c r="G56" s="36">
        <f>SUM(G36:G39)</f>
        <v>147503645.03359798</v>
      </c>
      <c r="H56" s="35" t="s">
        <v>52</v>
      </c>
    </row>
    <row r="57" spans="1:9" ht="13.5" thickBot="1" x14ac:dyDescent="0.25">
      <c r="E57" s="37"/>
      <c r="F57" s="38"/>
      <c r="G57" s="39">
        <f>G56/2000</f>
        <v>73751.822516798988</v>
      </c>
      <c r="H57" s="40" t="s">
        <v>43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" workbookViewId="0">
      <selection activeCell="K64" sqref="K64"/>
    </sheetView>
  </sheetViews>
  <sheetFormatPr defaultColWidth="8.85546875" defaultRowHeight="12.75" x14ac:dyDescent="0.2"/>
  <cols>
    <col min="1" max="1" width="11.5703125" style="8" customWidth="1"/>
    <col min="2" max="2" width="22" style="8" bestFit="1" customWidth="1"/>
    <col min="3" max="3" width="14.85546875" style="8" customWidth="1"/>
    <col min="4" max="4" width="15.42578125" style="8" customWidth="1"/>
    <col min="5" max="6" width="11.85546875" style="8" customWidth="1"/>
    <col min="7" max="7" width="16.5703125" style="8" bestFit="1" customWidth="1"/>
    <col min="8" max="8" width="8.85546875" style="8"/>
    <col min="9" max="9" width="9.140625" style="8" bestFit="1" customWidth="1"/>
    <col min="10" max="10" width="8.85546875" style="8"/>
    <col min="11" max="11" width="10.140625" style="8" bestFit="1" customWidth="1"/>
    <col min="12" max="12" width="8.85546875" style="8"/>
    <col min="13" max="13" width="14" style="8" bestFit="1" customWidth="1"/>
    <col min="14" max="16384" width="8.85546875" style="8"/>
  </cols>
  <sheetData>
    <row r="1" spans="1:7" ht="15.75" x14ac:dyDescent="0.25">
      <c r="C1" s="2" t="s">
        <v>6</v>
      </c>
    </row>
    <row r="2" spans="1:7" ht="15.75" x14ac:dyDescent="0.25">
      <c r="C2" s="2"/>
    </row>
    <row r="3" spans="1:7" ht="15.75" x14ac:dyDescent="0.25">
      <c r="C3" s="2"/>
      <c r="E3" s="9" t="s">
        <v>8</v>
      </c>
      <c r="F3" s="9"/>
      <c r="G3" s="7"/>
    </row>
    <row r="4" spans="1:7" x14ac:dyDescent="0.2">
      <c r="A4" s="6"/>
      <c r="B4" s="6"/>
      <c r="C4" s="10" t="s">
        <v>3</v>
      </c>
      <c r="D4" s="10" t="s">
        <v>18</v>
      </c>
      <c r="E4" s="10" t="s">
        <v>5</v>
      </c>
      <c r="F4" s="7"/>
      <c r="G4" s="7"/>
    </row>
    <row r="5" spans="1:7" x14ac:dyDescent="0.2">
      <c r="A5" s="6" t="s">
        <v>0</v>
      </c>
      <c r="B5" s="6" t="s">
        <v>1</v>
      </c>
      <c r="C5" s="10">
        <v>6040</v>
      </c>
      <c r="D5" s="10">
        <v>0.04</v>
      </c>
      <c r="E5" s="10">
        <v>0.05</v>
      </c>
      <c r="F5" s="7" t="s">
        <v>7</v>
      </c>
      <c r="G5" s="7"/>
    </row>
    <row r="6" spans="1:7" x14ac:dyDescent="0.2">
      <c r="A6" s="6" t="s">
        <v>0</v>
      </c>
      <c r="B6" s="6" t="s">
        <v>2</v>
      </c>
      <c r="C6" s="10">
        <v>6040</v>
      </c>
      <c r="D6" s="10">
        <v>3.5</v>
      </c>
      <c r="E6" s="10">
        <v>0.06</v>
      </c>
      <c r="F6" s="7" t="s">
        <v>7</v>
      </c>
      <c r="G6" s="7"/>
    </row>
    <row r="7" spans="1:7" x14ac:dyDescent="0.2">
      <c r="A7" s="6" t="s">
        <v>28</v>
      </c>
      <c r="B7" s="6" t="s">
        <v>19</v>
      </c>
      <c r="C7" s="43">
        <f>10.21/2.0205</f>
        <v>5.0532046523137835</v>
      </c>
      <c r="D7" s="43">
        <f>0.26/1000/2.0205</f>
        <v>1.2868101954961644E-4</v>
      </c>
      <c r="E7" s="43">
        <f>0.26/1000/2.0205</f>
        <v>1.2868101954961644E-4</v>
      </c>
      <c r="F7" s="7" t="s">
        <v>29</v>
      </c>
      <c r="G7" s="11"/>
    </row>
    <row r="8" spans="1:7" x14ac:dyDescent="0.2">
      <c r="A8" s="6" t="s">
        <v>34</v>
      </c>
      <c r="B8" s="6" t="s">
        <v>27</v>
      </c>
      <c r="C8" s="43">
        <f>(8.87*0.9+5.75*0.1)/2.0205</f>
        <v>4.2355852511754515</v>
      </c>
      <c r="D8" s="43">
        <f>0.22/1000/2.0205</f>
        <v>1.0888393961890621E-4</v>
      </c>
      <c r="E8" s="43">
        <f>0.22/1000/2.0205</f>
        <v>1.0888393961890621E-4</v>
      </c>
      <c r="F8" s="7" t="s">
        <v>29</v>
      </c>
      <c r="G8" s="11"/>
    </row>
    <row r="9" spans="1:7" x14ac:dyDescent="0.2">
      <c r="A9" s="6" t="s">
        <v>35</v>
      </c>
      <c r="B9" s="6" t="s">
        <v>27</v>
      </c>
      <c r="C9" s="43">
        <f>(8.78*0.15+5.75*0.85)/2.0205</f>
        <v>3.0707745607522887</v>
      </c>
      <c r="D9" s="43">
        <f>0.22/1000/2.0205</f>
        <v>1.0888393961890621E-4</v>
      </c>
      <c r="E9" s="43">
        <f>0.22/1000/2.0205</f>
        <v>1.0888393961890621E-4</v>
      </c>
      <c r="F9" s="7" t="s">
        <v>29</v>
      </c>
      <c r="G9" s="11"/>
    </row>
    <row r="10" spans="1:7" x14ac:dyDescent="0.2">
      <c r="A10" s="6" t="s">
        <v>71</v>
      </c>
      <c r="B10" s="6" t="s">
        <v>70</v>
      </c>
      <c r="C10" s="43">
        <f>8.31/2.0205</f>
        <v>4.1128433556050483</v>
      </c>
      <c r="D10" s="43">
        <f>0.11/1000/2.0205</f>
        <v>5.4441969809453104E-5</v>
      </c>
      <c r="E10" s="43">
        <f>7.06/1000/2.0205</f>
        <v>3.4941846077703531E-3</v>
      </c>
      <c r="F10" s="7" t="s">
        <v>29</v>
      </c>
      <c r="G10" s="11"/>
    </row>
    <row r="11" spans="1:7" x14ac:dyDescent="0.2">
      <c r="A11" s="6" t="s">
        <v>13</v>
      </c>
      <c r="B11" s="6" t="s">
        <v>16</v>
      </c>
      <c r="C11" s="10">
        <v>120000</v>
      </c>
      <c r="D11" s="10">
        <v>94</v>
      </c>
      <c r="E11" s="10">
        <v>2.2999999999999998</v>
      </c>
      <c r="F11" s="7" t="s">
        <v>15</v>
      </c>
      <c r="G11" s="7"/>
    </row>
    <row r="12" spans="1:7" x14ac:dyDescent="0.2">
      <c r="A12" s="6" t="s">
        <v>14</v>
      </c>
      <c r="B12" s="6" t="s">
        <v>16</v>
      </c>
      <c r="C12" s="10">
        <v>1982</v>
      </c>
      <c r="D12" s="10">
        <v>3.5999999999999997E-2</v>
      </c>
      <c r="E12" s="10">
        <v>1.34E-2</v>
      </c>
      <c r="F12" s="7" t="s">
        <v>17</v>
      </c>
      <c r="G12" s="7"/>
    </row>
    <row r="13" spans="1:7" x14ac:dyDescent="0.2">
      <c r="A13" s="12" t="s">
        <v>30</v>
      </c>
      <c r="B13" s="12" t="s">
        <v>16</v>
      </c>
      <c r="C13" s="10">
        <f>C12*1.5</f>
        <v>2973</v>
      </c>
      <c r="D13" s="10">
        <f>D12*1.5</f>
        <v>5.3999999999999992E-2</v>
      </c>
      <c r="E13" s="10">
        <f>E12*1.5</f>
        <v>2.01E-2</v>
      </c>
      <c r="F13" s="7" t="s">
        <v>33</v>
      </c>
      <c r="G13" s="7"/>
    </row>
    <row r="14" spans="1:7" x14ac:dyDescent="0.2">
      <c r="A14" s="6" t="s">
        <v>31</v>
      </c>
      <c r="B14" s="6" t="s">
        <v>32</v>
      </c>
      <c r="C14" s="10">
        <f>C12*1.8</f>
        <v>3567.6</v>
      </c>
      <c r="D14" s="10">
        <f>D12*1.8</f>
        <v>6.4799999999999996E-2</v>
      </c>
      <c r="E14" s="10">
        <f>E12*1.8</f>
        <v>2.4120000000000003E-2</v>
      </c>
      <c r="F14" s="7" t="s">
        <v>33</v>
      </c>
      <c r="G14" s="7"/>
    </row>
    <row r="16" spans="1:7" x14ac:dyDescent="0.2">
      <c r="A16" s="4" t="s">
        <v>9</v>
      </c>
    </row>
    <row r="17" spans="1:13" x14ac:dyDescent="0.2">
      <c r="A17" s="8" t="s">
        <v>3</v>
      </c>
      <c r="B17" s="8" t="s">
        <v>10</v>
      </c>
    </row>
    <row r="18" spans="1:13" x14ac:dyDescent="0.2">
      <c r="A18" s="8" t="s">
        <v>4</v>
      </c>
      <c r="B18" s="8" t="s">
        <v>11</v>
      </c>
    </row>
    <row r="19" spans="1:13" x14ac:dyDescent="0.2">
      <c r="A19" s="8" t="s">
        <v>5</v>
      </c>
      <c r="B19" s="8" t="s">
        <v>12</v>
      </c>
    </row>
    <row r="20" spans="1:13" x14ac:dyDescent="0.2">
      <c r="G20" s="17"/>
    </row>
    <row r="22" spans="1:13" ht="15.75" x14ac:dyDescent="0.25">
      <c r="A22" s="2" t="s">
        <v>25</v>
      </c>
    </row>
    <row r="23" spans="1:13" ht="15.75" x14ac:dyDescent="0.25">
      <c r="A23" s="4" t="s">
        <v>63</v>
      </c>
      <c r="D23" s="2"/>
      <c r="F23" s="8" t="s">
        <v>8</v>
      </c>
    </row>
    <row r="24" spans="1:13" x14ac:dyDescent="0.2">
      <c r="A24" s="28" t="s">
        <v>65</v>
      </c>
      <c r="B24" s="6"/>
      <c r="C24" s="10" t="s">
        <v>20</v>
      </c>
      <c r="D24" s="10" t="s">
        <v>3</v>
      </c>
      <c r="E24" s="10" t="s">
        <v>18</v>
      </c>
      <c r="F24" s="10" t="s">
        <v>5</v>
      </c>
      <c r="G24" s="10" t="s">
        <v>21</v>
      </c>
      <c r="I24" s="27" t="s">
        <v>53</v>
      </c>
    </row>
    <row r="25" spans="1:13" x14ac:dyDescent="0.2">
      <c r="A25" s="6" t="s">
        <v>0</v>
      </c>
      <c r="B25" s="6" t="s">
        <v>1</v>
      </c>
      <c r="C25" s="5">
        <v>0</v>
      </c>
      <c r="D25" s="14">
        <f>C25*$C$5</f>
        <v>0</v>
      </c>
      <c r="E25" s="18">
        <f>C25*$D$5</f>
        <v>0</v>
      </c>
      <c r="F25" s="18">
        <f>C25*$E$5</f>
        <v>0</v>
      </c>
      <c r="G25" s="14">
        <f t="shared" ref="G25:G37" si="0">D25+E25*296+F25*23</f>
        <v>0</v>
      </c>
      <c r="M25" s="15"/>
    </row>
    <row r="26" spans="1:13" x14ac:dyDescent="0.2">
      <c r="A26" s="6" t="s">
        <v>0</v>
      </c>
      <c r="B26" s="6" t="s">
        <v>2</v>
      </c>
      <c r="C26" s="5">
        <v>100283</v>
      </c>
      <c r="D26" s="14">
        <f>C26*$C$6</f>
        <v>605709320</v>
      </c>
      <c r="E26" s="18">
        <f>C26*$D$6</f>
        <v>350990.5</v>
      </c>
      <c r="F26" s="18">
        <f>C26*$E$6</f>
        <v>6016.98</v>
      </c>
      <c r="G26" s="14">
        <f t="shared" si="0"/>
        <v>709740898.53999996</v>
      </c>
      <c r="I26" s="19">
        <f>G26/G41</f>
        <v>0.73143696826534066</v>
      </c>
      <c r="J26" s="8" t="s">
        <v>57</v>
      </c>
    </row>
    <row r="27" spans="1:13" x14ac:dyDescent="0.2">
      <c r="A27" s="6" t="s">
        <v>28</v>
      </c>
      <c r="B27" s="6" t="s">
        <v>19</v>
      </c>
      <c r="C27" s="20">
        <v>72001.850000000006</v>
      </c>
      <c r="D27" s="18">
        <f>C27*$C$7</f>
        <v>363840.08339519921</v>
      </c>
      <c r="E27" s="14">
        <f>C27*7*20300*$D$7/1000000</f>
        <v>1.3165950755258602</v>
      </c>
      <c r="F27" s="14">
        <f>C27*7*20300*$E$7/1000000</f>
        <v>1.3165950755258602</v>
      </c>
      <c r="G27" s="14">
        <f t="shared" si="0"/>
        <v>364260.07722429198</v>
      </c>
      <c r="I27" s="19">
        <f>(G36+G37)/G41</f>
        <v>0.14486065879826809</v>
      </c>
      <c r="J27" s="8" t="s">
        <v>58</v>
      </c>
      <c r="M27" s="17"/>
    </row>
    <row r="28" spans="1:13" x14ac:dyDescent="0.2">
      <c r="A28" s="6" t="s">
        <v>34</v>
      </c>
      <c r="B28" s="6" t="s">
        <v>27</v>
      </c>
      <c r="C28" s="20">
        <v>193957.71</v>
      </c>
      <c r="D28" s="18">
        <f>C28*$C$8</f>
        <v>821524.41582776536</v>
      </c>
      <c r="E28" s="14">
        <f>C28*7*20300*$D$8/1000000</f>
        <v>3.0009927889235337</v>
      </c>
      <c r="F28" s="14">
        <f>C28*7*20300*$E$8/1000000</f>
        <v>3.0009927889235337</v>
      </c>
      <c r="G28" s="14">
        <f t="shared" si="0"/>
        <v>822481.73252743192</v>
      </c>
      <c r="I28" s="19">
        <f>G32/G41</f>
        <v>9.7539789662853302E-2</v>
      </c>
      <c r="J28" s="8" t="s">
        <v>55</v>
      </c>
    </row>
    <row r="29" spans="1:13" x14ac:dyDescent="0.2">
      <c r="A29" s="6" t="s">
        <v>35</v>
      </c>
      <c r="B29" s="6" t="s">
        <v>27</v>
      </c>
      <c r="C29" s="20">
        <v>97436.43</v>
      </c>
      <c r="D29" s="18">
        <f>C29*$C$9</f>
        <v>299205.31053452112</v>
      </c>
      <c r="E29" s="14">
        <f>C29*7*20300*$D$9/1000000</f>
        <v>1.5075761814699331</v>
      </c>
      <c r="F29" s="14">
        <f>C29*7*20300*$E$9/1000000</f>
        <v>1.5075761814699331</v>
      </c>
      <c r="G29" s="14">
        <f>D29+E29*296+F29*23</f>
        <v>299686.22733641003</v>
      </c>
      <c r="I29" s="19">
        <f>(G31+G33)/G41</f>
        <v>2.2352143713411165E-2</v>
      </c>
      <c r="J29" s="8" t="s">
        <v>56</v>
      </c>
      <c r="M29" s="17"/>
    </row>
    <row r="30" spans="1:13" x14ac:dyDescent="0.2">
      <c r="A30" s="6" t="s">
        <v>71</v>
      </c>
      <c r="B30" s="6" t="s">
        <v>69</v>
      </c>
      <c r="C30" s="20">
        <v>33235</v>
      </c>
      <c r="D30" s="18">
        <f>C30*C10</f>
        <v>136690.34892353378</v>
      </c>
      <c r="E30" s="14">
        <f>C30*D10</f>
        <v>1.809378866617174</v>
      </c>
      <c r="F30" s="14">
        <f>C30*E10</f>
        <v>116.12922543924769</v>
      </c>
      <c r="G30" s="14">
        <f>D30+E30*296+F30*23</f>
        <v>139896.89725315516</v>
      </c>
      <c r="I30" s="19">
        <f>(G27+G28+G29+G30)/G41</f>
        <v>1.6760400617125775E-3</v>
      </c>
      <c r="J30" s="8" t="s">
        <v>54</v>
      </c>
    </row>
    <row r="31" spans="1:13" x14ac:dyDescent="0.2">
      <c r="A31" s="6" t="s">
        <v>13</v>
      </c>
      <c r="B31" s="6" t="s">
        <v>47</v>
      </c>
      <c r="C31" s="20">
        <v>27002161</v>
      </c>
      <c r="D31" s="14">
        <f>C31*$C$11/1000000</f>
        <v>3240259.32</v>
      </c>
      <c r="E31" s="18">
        <f>C31*$D$11/1000000</f>
        <v>2538.2031339999999</v>
      </c>
      <c r="F31" s="18">
        <f>C31*$E$11/1000000</f>
        <v>62.104970299999998</v>
      </c>
      <c r="G31" s="14">
        <f>D31+E31*296+F31*23</f>
        <v>3992995.8619808997</v>
      </c>
      <c r="I31" s="19">
        <f>(G38+G39)/G41</f>
        <v>2.134399498414295E-3</v>
      </c>
      <c r="J31" s="8" t="s">
        <v>59</v>
      </c>
    </row>
    <row r="32" spans="1:13" x14ac:dyDescent="0.2">
      <c r="A32" s="6" t="s">
        <v>13</v>
      </c>
      <c r="B32" s="6" t="s">
        <v>48</v>
      </c>
      <c r="C32" s="5">
        <v>640036000</v>
      </c>
      <c r="D32" s="14">
        <f>C32*$C$11/1000000</f>
        <v>76804320</v>
      </c>
      <c r="E32" s="18">
        <f>C32*$D$11/1000000</f>
        <v>60163.383999999998</v>
      </c>
      <c r="F32" s="18">
        <f>C32*$E$11/1000000</f>
        <v>1472.0827999999999</v>
      </c>
      <c r="G32" s="14">
        <f>D32+E32*296+F32*23</f>
        <v>94646539.56840001</v>
      </c>
    </row>
    <row r="33" spans="1:11" x14ac:dyDescent="0.2">
      <c r="A33" s="6" t="s">
        <v>13</v>
      </c>
      <c r="B33" s="6" t="s">
        <v>49</v>
      </c>
      <c r="C33" s="5">
        <v>119668000</v>
      </c>
      <c r="D33" s="14">
        <f>C33*$C$11/1000000</f>
        <v>14360160</v>
      </c>
      <c r="E33" s="18">
        <f>C33*$D$11/1000000</f>
        <v>11248.791999999999</v>
      </c>
      <c r="F33" s="18">
        <f>C33*$E$11/1000000</f>
        <v>275.2364</v>
      </c>
      <c r="G33" s="14">
        <f>D33+E33*296+F33*23</f>
        <v>17696132.869199999</v>
      </c>
    </row>
    <row r="34" spans="1:11" x14ac:dyDescent="0.2">
      <c r="A34" s="6"/>
      <c r="B34" s="6"/>
      <c r="C34" s="5"/>
      <c r="D34" s="14"/>
      <c r="E34" s="18"/>
      <c r="F34" s="18"/>
      <c r="G34" s="14"/>
    </row>
    <row r="35" spans="1:11" x14ac:dyDescent="0.2">
      <c r="A35" s="28" t="s">
        <v>66</v>
      </c>
      <c r="B35" s="6"/>
      <c r="C35" s="5"/>
      <c r="D35" s="14"/>
      <c r="E35" s="18"/>
      <c r="F35" s="18"/>
      <c r="G35" s="14"/>
      <c r="I35" s="19"/>
    </row>
    <row r="36" spans="1:11" x14ac:dyDescent="0.2">
      <c r="A36" s="6" t="s">
        <v>14</v>
      </c>
      <c r="B36" s="3" t="s">
        <v>50</v>
      </c>
      <c r="C36" s="5">
        <v>48877</v>
      </c>
      <c r="D36" s="14">
        <f>C36*$C$12</f>
        <v>96874214</v>
      </c>
      <c r="E36" s="18">
        <f>C36*$D$12</f>
        <v>1759.5719999999999</v>
      </c>
      <c r="F36" s="18">
        <f>C36*$E$12</f>
        <v>654.95180000000005</v>
      </c>
      <c r="G36" s="14">
        <f t="shared" si="0"/>
        <v>97410111.203400001</v>
      </c>
    </row>
    <row r="37" spans="1:11" x14ac:dyDescent="0.2">
      <c r="A37" s="6" t="s">
        <v>14</v>
      </c>
      <c r="B37" s="3" t="s">
        <v>51</v>
      </c>
      <c r="C37" s="5">
        <v>21653</v>
      </c>
      <c r="D37" s="14">
        <f>C37*$C$12</f>
        <v>42916246</v>
      </c>
      <c r="E37" s="18">
        <f>C37*$D$12</f>
        <v>779.50799999999992</v>
      </c>
      <c r="F37" s="18">
        <f>C37*$E$12</f>
        <v>290.15019999999998</v>
      </c>
      <c r="G37" s="14">
        <f t="shared" si="0"/>
        <v>43153653.8226</v>
      </c>
      <c r="I37" s="19"/>
    </row>
    <row r="38" spans="1:11" x14ac:dyDescent="0.2">
      <c r="A38" s="12" t="s">
        <v>30</v>
      </c>
      <c r="B38" s="12" t="s">
        <v>16</v>
      </c>
      <c r="C38" s="16">
        <v>295</v>
      </c>
      <c r="D38" s="14">
        <f>C38*$C$13</f>
        <v>877035</v>
      </c>
      <c r="E38" s="14">
        <f>C38*$D$13</f>
        <v>15.929999999999998</v>
      </c>
      <c r="F38" s="14">
        <f>C38*$E$13</f>
        <v>5.9295</v>
      </c>
      <c r="G38" s="14">
        <f>D38+E38*296+F38*23</f>
        <v>881886.65850000002</v>
      </c>
    </row>
    <row r="39" spans="1:11" x14ac:dyDescent="0.2">
      <c r="A39" s="6" t="s">
        <v>31</v>
      </c>
      <c r="B39" s="6" t="s">
        <v>32</v>
      </c>
      <c r="C39" s="16">
        <v>331.5</v>
      </c>
      <c r="D39" s="14">
        <f>C39*$C$14</f>
        <v>1182659.3999999999</v>
      </c>
      <c r="E39" s="14">
        <f>C39*$D$14</f>
        <v>21.481199999999998</v>
      </c>
      <c r="F39" s="14">
        <f>C39*$E$14</f>
        <v>7.9957800000000008</v>
      </c>
      <c r="G39" s="14">
        <f>D39+E39*296+F39*23</f>
        <v>1189201.7381399998</v>
      </c>
    </row>
    <row r="41" spans="1:11" x14ac:dyDescent="0.2">
      <c r="F41" s="8" t="s">
        <v>22</v>
      </c>
      <c r="G41" s="15">
        <f>SUM(G25:G39)</f>
        <v>970337745.19656205</v>
      </c>
      <c r="H41" s="8" t="s">
        <v>23</v>
      </c>
      <c r="I41" s="26">
        <f>SUM(I26:I37)</f>
        <v>1</v>
      </c>
    </row>
    <row r="42" spans="1:11" x14ac:dyDescent="0.2">
      <c r="G42" s="25">
        <f>G41/2000</f>
        <v>485168.87259828101</v>
      </c>
      <c r="H42" s="8" t="s">
        <v>24</v>
      </c>
    </row>
    <row r="43" spans="1:11" customFormat="1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1" customFormat="1" x14ac:dyDescent="0.2">
      <c r="F44" s="23" t="s">
        <v>61</v>
      </c>
      <c r="G44" s="21">
        <f>G25+G26+G32</f>
        <v>804387438.10839999</v>
      </c>
      <c r="H44" s="8" t="s">
        <v>52</v>
      </c>
    </row>
    <row r="45" spans="1:11" customFormat="1" x14ac:dyDescent="0.2">
      <c r="G45" s="22">
        <f>G44/2000</f>
        <v>402193.71905419999</v>
      </c>
      <c r="H45" s="8" t="s">
        <v>43</v>
      </c>
    </row>
    <row r="46" spans="1:11" customFormat="1" x14ac:dyDescent="0.2">
      <c r="K46" s="21"/>
    </row>
    <row r="47" spans="1:11" customFormat="1" x14ac:dyDescent="0.2">
      <c r="F47" s="24" t="s">
        <v>60</v>
      </c>
      <c r="G47" s="21">
        <f>G36+G37</f>
        <v>140563765.02599999</v>
      </c>
      <c r="H47" s="8" t="s">
        <v>52</v>
      </c>
    </row>
    <row r="48" spans="1:11" customFormat="1" x14ac:dyDescent="0.2">
      <c r="G48" s="22">
        <f>G47/2000</f>
        <v>70281.88251299999</v>
      </c>
      <c r="H48" s="8" t="s">
        <v>43</v>
      </c>
      <c r="K48" s="22"/>
    </row>
    <row r="49" spans="1:9" customFormat="1" x14ac:dyDescent="0.2"/>
    <row r="50" spans="1:9" customFormat="1" x14ac:dyDescent="0.2">
      <c r="F50" s="24" t="s">
        <v>62</v>
      </c>
      <c r="G50" s="22">
        <f>G27+G28+G29+G30+G31+G33+G38+G39</f>
        <v>25386542.062162187</v>
      </c>
      <c r="H50" s="8" t="s">
        <v>52</v>
      </c>
    </row>
    <row r="51" spans="1:9" x14ac:dyDescent="0.2">
      <c r="A51"/>
      <c r="B51"/>
      <c r="C51"/>
      <c r="D51"/>
      <c r="E51"/>
      <c r="F51"/>
      <c r="G51" s="22">
        <f>G50/2000</f>
        <v>12693.271031081093</v>
      </c>
      <c r="H51" s="8" t="s">
        <v>43</v>
      </c>
      <c r="I51"/>
    </row>
    <row r="52" spans="1:9" ht="13.5" thickBot="1" x14ac:dyDescent="0.25">
      <c r="D52" s="17"/>
    </row>
    <row r="53" spans="1:9" x14ac:dyDescent="0.2">
      <c r="E53" s="29"/>
      <c r="F53" s="41" t="s">
        <v>67</v>
      </c>
      <c r="G53" s="30">
        <f>SUM(G26:G33)</f>
        <v>827702891.77392209</v>
      </c>
      <c r="H53" s="31" t="s">
        <v>52</v>
      </c>
    </row>
    <row r="54" spans="1:9" x14ac:dyDescent="0.2">
      <c r="E54" s="32"/>
      <c r="F54" s="33"/>
      <c r="G54" s="34">
        <f>G53/2000</f>
        <v>413851.44588696107</v>
      </c>
      <c r="H54" s="35" t="s">
        <v>43</v>
      </c>
    </row>
    <row r="55" spans="1:9" x14ac:dyDescent="0.2">
      <c r="E55" s="32"/>
      <c r="F55" s="33"/>
      <c r="G55" s="33"/>
      <c r="H55" s="35"/>
    </row>
    <row r="56" spans="1:9" x14ac:dyDescent="0.2">
      <c r="E56" s="32"/>
      <c r="F56" s="42" t="s">
        <v>68</v>
      </c>
      <c r="G56" s="36">
        <f>SUM(G36:G39)</f>
        <v>142634853.42263997</v>
      </c>
      <c r="H56" s="35" t="s">
        <v>52</v>
      </c>
    </row>
    <row r="57" spans="1:9" ht="13.5" thickBot="1" x14ac:dyDescent="0.25">
      <c r="E57" s="37"/>
      <c r="F57" s="38"/>
      <c r="G57" s="39">
        <f>G56/2000</f>
        <v>71317.426711319989</v>
      </c>
      <c r="H57" s="40" t="s">
        <v>43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topLeftCell="A22" workbookViewId="0">
      <selection activeCell="M46" sqref="M46"/>
    </sheetView>
  </sheetViews>
  <sheetFormatPr defaultColWidth="8.85546875" defaultRowHeight="12.75" x14ac:dyDescent="0.2"/>
  <cols>
    <col min="1" max="1" width="11.5703125" style="8" customWidth="1"/>
    <col min="2" max="2" width="22" style="8" bestFit="1" customWidth="1"/>
    <col min="3" max="3" width="14.85546875" style="8" customWidth="1"/>
    <col min="4" max="4" width="15.42578125" style="8" customWidth="1"/>
    <col min="5" max="6" width="11.85546875" style="8" customWidth="1"/>
    <col min="7" max="7" width="16.5703125" style="8" bestFit="1" customWidth="1"/>
    <col min="8" max="8" width="8.85546875" style="8"/>
    <col min="9" max="9" width="9.140625" style="8" bestFit="1" customWidth="1"/>
    <col min="10" max="10" width="8.85546875" style="8"/>
    <col min="11" max="11" width="10.140625" style="8" bestFit="1" customWidth="1"/>
    <col min="12" max="12" width="8.85546875" style="8"/>
    <col min="13" max="13" width="14" style="8" bestFit="1" customWidth="1"/>
    <col min="14" max="16384" width="8.85546875" style="8"/>
  </cols>
  <sheetData>
    <row r="1" spans="1:7" ht="15.75" x14ac:dyDescent="0.25">
      <c r="C1" s="2" t="s">
        <v>6</v>
      </c>
    </row>
    <row r="2" spans="1:7" ht="15.75" x14ac:dyDescent="0.25">
      <c r="C2" s="2"/>
    </row>
    <row r="3" spans="1:7" ht="15.75" x14ac:dyDescent="0.25">
      <c r="C3" s="2"/>
      <c r="E3" s="9" t="s">
        <v>8</v>
      </c>
      <c r="F3" s="9"/>
      <c r="G3" s="7"/>
    </row>
    <row r="4" spans="1:7" x14ac:dyDescent="0.2">
      <c r="A4" s="6"/>
      <c r="B4" s="6"/>
      <c r="C4" s="10" t="s">
        <v>3</v>
      </c>
      <c r="D4" s="10" t="s">
        <v>18</v>
      </c>
      <c r="E4" s="10" t="s">
        <v>5</v>
      </c>
      <c r="F4" s="7"/>
      <c r="G4" s="7"/>
    </row>
    <row r="5" spans="1:7" x14ac:dyDescent="0.2">
      <c r="A5" s="6" t="s">
        <v>0</v>
      </c>
      <c r="B5" s="6" t="s">
        <v>1</v>
      </c>
      <c r="C5" s="10">
        <v>6040</v>
      </c>
      <c r="D5" s="10">
        <v>0.04</v>
      </c>
      <c r="E5" s="10">
        <v>0.05</v>
      </c>
      <c r="F5" s="7" t="s">
        <v>7</v>
      </c>
      <c r="G5" s="7"/>
    </row>
    <row r="6" spans="1:7" x14ac:dyDescent="0.2">
      <c r="A6" s="6" t="s">
        <v>0</v>
      </c>
      <c r="B6" s="6" t="s">
        <v>2</v>
      </c>
      <c r="C6" s="10">
        <v>6040</v>
      </c>
      <c r="D6" s="10">
        <v>3.5</v>
      </c>
      <c r="E6" s="10">
        <v>0.06</v>
      </c>
      <c r="F6" s="7" t="s">
        <v>7</v>
      </c>
      <c r="G6" s="7"/>
    </row>
    <row r="7" spans="1:7" x14ac:dyDescent="0.2">
      <c r="A7" s="6" t="s">
        <v>28</v>
      </c>
      <c r="B7" s="6" t="s">
        <v>19</v>
      </c>
      <c r="C7" s="43">
        <f>10.21/2.0205</f>
        <v>5.0532046523137835</v>
      </c>
      <c r="D7" s="43">
        <f>0.26/1000/2.0205</f>
        <v>1.2868101954961644E-4</v>
      </c>
      <c r="E7" s="43">
        <f>0.26/1000/2.0205</f>
        <v>1.2868101954961644E-4</v>
      </c>
      <c r="F7" s="7" t="s">
        <v>29</v>
      </c>
      <c r="G7" s="11"/>
    </row>
    <row r="8" spans="1:7" x14ac:dyDescent="0.2">
      <c r="A8" s="6" t="s">
        <v>34</v>
      </c>
      <c r="B8" s="6" t="s">
        <v>27</v>
      </c>
      <c r="C8" s="43">
        <f>(8.87*0.9+5.75*0.1)/2.0205</f>
        <v>4.2355852511754515</v>
      </c>
      <c r="D8" s="43">
        <f>0.22/1000/2.0205</f>
        <v>1.0888393961890621E-4</v>
      </c>
      <c r="E8" s="43">
        <f>0.22/1000/2.0205</f>
        <v>1.0888393961890621E-4</v>
      </c>
      <c r="F8" s="7" t="s">
        <v>29</v>
      </c>
      <c r="G8" s="11"/>
    </row>
    <row r="9" spans="1:7" x14ac:dyDescent="0.2">
      <c r="A9" s="6" t="s">
        <v>35</v>
      </c>
      <c r="B9" s="6" t="s">
        <v>27</v>
      </c>
      <c r="C9" s="43">
        <f>(8.78*0.15+5.75*0.85)/2.0205</f>
        <v>3.0707745607522887</v>
      </c>
      <c r="D9" s="43">
        <f>0.22/1000/2.0205</f>
        <v>1.0888393961890621E-4</v>
      </c>
      <c r="E9" s="43">
        <f>0.22/1000/2.0205</f>
        <v>1.0888393961890621E-4</v>
      </c>
      <c r="F9" s="7" t="s">
        <v>29</v>
      </c>
      <c r="G9" s="11"/>
    </row>
    <row r="10" spans="1:7" x14ac:dyDescent="0.2">
      <c r="A10" s="6" t="s">
        <v>71</v>
      </c>
      <c r="B10" s="6" t="s">
        <v>70</v>
      </c>
      <c r="C10" s="43">
        <f>8.31/2.0205</f>
        <v>4.1128433556050483</v>
      </c>
      <c r="D10" s="43">
        <f>0.11/1000/2.0205</f>
        <v>5.4441969809453104E-5</v>
      </c>
      <c r="E10" s="43">
        <f>7.06/1000/2.0205</f>
        <v>3.4941846077703531E-3</v>
      </c>
      <c r="F10" s="7" t="s">
        <v>29</v>
      </c>
      <c r="G10" s="11"/>
    </row>
    <row r="11" spans="1:7" x14ac:dyDescent="0.2">
      <c r="A11" s="6" t="s">
        <v>13</v>
      </c>
      <c r="B11" s="6" t="s">
        <v>16</v>
      </c>
      <c r="C11" s="10">
        <v>120000</v>
      </c>
      <c r="D11" s="10">
        <v>94</v>
      </c>
      <c r="E11" s="10">
        <v>2.2999999999999998</v>
      </c>
      <c r="F11" s="7" t="s">
        <v>15</v>
      </c>
      <c r="G11" s="7"/>
    </row>
    <row r="12" spans="1:7" x14ac:dyDescent="0.2">
      <c r="A12" s="6" t="s">
        <v>14</v>
      </c>
      <c r="B12" s="6" t="s">
        <v>16</v>
      </c>
      <c r="C12" s="10">
        <v>1982</v>
      </c>
      <c r="D12" s="10">
        <v>3.5999999999999997E-2</v>
      </c>
      <c r="E12" s="10">
        <v>1.34E-2</v>
      </c>
      <c r="F12" s="7" t="s">
        <v>17</v>
      </c>
      <c r="G12" s="7"/>
    </row>
    <row r="13" spans="1:7" x14ac:dyDescent="0.2">
      <c r="A13" s="12" t="s">
        <v>30</v>
      </c>
      <c r="B13" s="12" t="s">
        <v>16</v>
      </c>
      <c r="C13" s="10">
        <f>C12*1.5</f>
        <v>2973</v>
      </c>
      <c r="D13" s="10">
        <f>D12*1.5</f>
        <v>5.3999999999999992E-2</v>
      </c>
      <c r="E13" s="10">
        <f>E12*1.5</f>
        <v>2.01E-2</v>
      </c>
      <c r="F13" s="7" t="s">
        <v>33</v>
      </c>
      <c r="G13" s="7"/>
    </row>
    <row r="14" spans="1:7" x14ac:dyDescent="0.2">
      <c r="A14" s="6" t="s">
        <v>31</v>
      </c>
      <c r="B14" s="6" t="s">
        <v>32</v>
      </c>
      <c r="C14" s="10">
        <f>C12*1.8</f>
        <v>3567.6</v>
      </c>
      <c r="D14" s="10">
        <f>D12*1.8</f>
        <v>6.4799999999999996E-2</v>
      </c>
      <c r="E14" s="10">
        <f>E12*1.8</f>
        <v>2.4120000000000003E-2</v>
      </c>
      <c r="F14" s="7" t="s">
        <v>33</v>
      </c>
      <c r="G14" s="7"/>
    </row>
    <row r="16" spans="1:7" x14ac:dyDescent="0.2">
      <c r="A16" s="4" t="s">
        <v>9</v>
      </c>
    </row>
    <row r="17" spans="1:13" x14ac:dyDescent="0.2">
      <c r="A17" s="8" t="s">
        <v>3</v>
      </c>
      <c r="B17" s="8" t="s">
        <v>10</v>
      </c>
    </row>
    <row r="18" spans="1:13" x14ac:dyDescent="0.2">
      <c r="A18" s="8" t="s">
        <v>4</v>
      </c>
      <c r="B18" s="8" t="s">
        <v>11</v>
      </c>
    </row>
    <row r="19" spans="1:13" x14ac:dyDescent="0.2">
      <c r="A19" s="8" t="s">
        <v>5</v>
      </c>
      <c r="B19" s="8" t="s">
        <v>12</v>
      </c>
    </row>
    <row r="20" spans="1:13" x14ac:dyDescent="0.2">
      <c r="G20" s="17"/>
    </row>
    <row r="22" spans="1:13" ht="15.75" x14ac:dyDescent="0.25">
      <c r="A22" s="2" t="s">
        <v>25</v>
      </c>
    </row>
    <row r="23" spans="1:13" ht="15.75" x14ac:dyDescent="0.25">
      <c r="A23" s="4" t="s">
        <v>45</v>
      </c>
      <c r="D23" s="2"/>
      <c r="F23" s="8" t="s">
        <v>8</v>
      </c>
    </row>
    <row r="24" spans="1:13" x14ac:dyDescent="0.2">
      <c r="A24" s="28" t="s">
        <v>65</v>
      </c>
      <c r="B24" s="6"/>
      <c r="C24" s="10" t="s">
        <v>20</v>
      </c>
      <c r="D24" s="10" t="s">
        <v>3</v>
      </c>
      <c r="E24" s="10" t="s">
        <v>18</v>
      </c>
      <c r="F24" s="10" t="s">
        <v>5</v>
      </c>
      <c r="G24" s="10" t="s">
        <v>21</v>
      </c>
      <c r="I24" s="27" t="s">
        <v>53</v>
      </c>
    </row>
    <row r="25" spans="1:13" x14ac:dyDescent="0.2">
      <c r="A25" s="6" t="s">
        <v>0</v>
      </c>
      <c r="B25" s="6" t="s">
        <v>1</v>
      </c>
      <c r="C25" s="5">
        <v>0</v>
      </c>
      <c r="D25" s="14">
        <f>C25*$C$5</f>
        <v>0</v>
      </c>
      <c r="E25" s="18">
        <f>C25*$D$5</f>
        <v>0</v>
      </c>
      <c r="F25" s="18">
        <f>C25*$E$5</f>
        <v>0</v>
      </c>
      <c r="G25" s="14">
        <f t="shared" ref="G25:G37" si="0">D25+E25*296+F25*23</f>
        <v>0</v>
      </c>
      <c r="M25" s="15"/>
    </row>
    <row r="26" spans="1:13" x14ac:dyDescent="0.2">
      <c r="A26" s="6" t="s">
        <v>0</v>
      </c>
      <c r="B26" s="6" t="s">
        <v>2</v>
      </c>
      <c r="C26" s="5">
        <v>104046</v>
      </c>
      <c r="D26" s="14">
        <f>C26*$C$6</f>
        <v>628437840</v>
      </c>
      <c r="E26" s="18">
        <f>C26*$D$6</f>
        <v>364161</v>
      </c>
      <c r="F26" s="18">
        <f>C26*$E$6</f>
        <v>6242.76</v>
      </c>
      <c r="G26" s="14">
        <f t="shared" si="0"/>
        <v>736373079.48000002</v>
      </c>
      <c r="I26" s="19">
        <f>G26/G41</f>
        <v>0.73862058133898822</v>
      </c>
      <c r="J26" s="8" t="s">
        <v>57</v>
      </c>
    </row>
    <row r="27" spans="1:13" x14ac:dyDescent="0.2">
      <c r="A27" s="6" t="s">
        <v>28</v>
      </c>
      <c r="B27" s="6" t="s">
        <v>19</v>
      </c>
      <c r="C27" s="20">
        <v>83206</v>
      </c>
      <c r="D27" s="18">
        <f>C27*$C$7</f>
        <v>420456.94630042068</v>
      </c>
      <c r="E27" s="14">
        <f>C27*7*20300*$D$7/1000000</f>
        <v>1.5214693768869094</v>
      </c>
      <c r="F27" s="14">
        <f>C27*7*20300*$E$7/1000000</f>
        <v>1.5214693768869094</v>
      </c>
      <c r="G27" s="14">
        <f t="shared" si="0"/>
        <v>420942.29503164761</v>
      </c>
      <c r="I27" s="19">
        <f>(G36+G37)/G41</f>
        <v>0.13200506785620761</v>
      </c>
      <c r="J27" s="8" t="s">
        <v>58</v>
      </c>
      <c r="M27" s="17"/>
    </row>
    <row r="28" spans="1:13" x14ac:dyDescent="0.2">
      <c r="A28" s="6" t="s">
        <v>34</v>
      </c>
      <c r="B28" s="6" t="s">
        <v>27</v>
      </c>
      <c r="C28" s="20">
        <v>201356</v>
      </c>
      <c r="D28" s="18">
        <f>C28*$C$8</f>
        <v>852860.50383568415</v>
      </c>
      <c r="E28" s="14">
        <f>C28*7*20300*$D$8/1000000</f>
        <v>3.1154621489730263</v>
      </c>
      <c r="F28" s="14">
        <f>C28*7*20300*$E$8/1000000</f>
        <v>3.1154621489730263</v>
      </c>
      <c r="G28" s="14">
        <f t="shared" si="0"/>
        <v>853854.33626120654</v>
      </c>
      <c r="I28" s="19">
        <f>G32/G41</f>
        <v>0.10093187823437498</v>
      </c>
      <c r="J28" s="8" t="s">
        <v>55</v>
      </c>
    </row>
    <row r="29" spans="1:13" x14ac:dyDescent="0.2">
      <c r="A29" s="6" t="s">
        <v>35</v>
      </c>
      <c r="B29" s="6" t="s">
        <v>27</v>
      </c>
      <c r="C29" s="20">
        <v>97298</v>
      </c>
      <c r="D29" s="18">
        <f>C29*$C$9</f>
        <v>298780.22321207618</v>
      </c>
      <c r="E29" s="14">
        <f>C29*7*20300*$D$9/1000000</f>
        <v>1.5054343360554316</v>
      </c>
      <c r="F29" s="14">
        <f>C29*7*20300*$E$9/1000000</f>
        <v>1.5054343360554316</v>
      </c>
      <c r="G29" s="14">
        <f>D29+E29*296+F29*23</f>
        <v>299260.45676527784</v>
      </c>
      <c r="I29" s="19">
        <f>(G31+G33)/G41</f>
        <v>2.4590522875081733E-2</v>
      </c>
      <c r="J29" s="8" t="s">
        <v>56</v>
      </c>
      <c r="M29" s="17"/>
    </row>
    <row r="30" spans="1:13" x14ac:dyDescent="0.2">
      <c r="A30" s="6" t="s">
        <v>71</v>
      </c>
      <c r="B30" s="6" t="s">
        <v>69</v>
      </c>
      <c r="C30" s="20">
        <v>22000</v>
      </c>
      <c r="D30" s="18">
        <f>C30*C10</f>
        <v>90482.553823311056</v>
      </c>
      <c r="E30" s="14">
        <f>C30*D10</f>
        <v>1.1977233358079682</v>
      </c>
      <c r="F30" s="14">
        <f>C30*E10</f>
        <v>76.872061370947776</v>
      </c>
      <c r="G30" s="14">
        <f>D30+E30*296+F30*23</f>
        <v>92605.137342242015</v>
      </c>
      <c r="I30" s="19">
        <f>(G27+G28+G29+G30)/G41</f>
        <v>1.6717490849750586E-3</v>
      </c>
      <c r="J30" s="8" t="s">
        <v>54</v>
      </c>
    </row>
    <row r="31" spans="1:13" x14ac:dyDescent="0.2">
      <c r="A31" s="6" t="s">
        <v>13</v>
      </c>
      <c r="B31" s="6" t="s">
        <v>47</v>
      </c>
      <c r="C31" s="20">
        <v>33924500</v>
      </c>
      <c r="D31" s="14">
        <f>C31*$C$11/1000000</f>
        <v>4070940</v>
      </c>
      <c r="E31" s="18">
        <f>C31*$D$11/1000000</f>
        <v>3188.9029999999998</v>
      </c>
      <c r="F31" s="18">
        <f>C31*$E$11/1000000</f>
        <v>78.026349999999994</v>
      </c>
      <c r="G31" s="14">
        <f>D31+E31*296+F31*23</f>
        <v>5016649.8940499993</v>
      </c>
      <c r="I31" s="19">
        <f>(G38+G39)/G41</f>
        <v>2.1802006103724919E-3</v>
      </c>
      <c r="J31" s="8" t="s">
        <v>59</v>
      </c>
    </row>
    <row r="32" spans="1:13" x14ac:dyDescent="0.2">
      <c r="A32" s="6" t="s">
        <v>13</v>
      </c>
      <c r="B32" s="6" t="s">
        <v>48</v>
      </c>
      <c r="C32" s="5">
        <v>680463000</v>
      </c>
      <c r="D32" s="14">
        <f>C32*$C$11/1000000</f>
        <v>81655560</v>
      </c>
      <c r="E32" s="18">
        <f>C32*$D$11/1000000</f>
        <v>63963.521999999997</v>
      </c>
      <c r="F32" s="18">
        <f>C32*$E$11/1000000</f>
        <v>1565.0648999999999</v>
      </c>
      <c r="G32" s="14">
        <f>D32+E32*296+F32*23</f>
        <v>100624759.00469999</v>
      </c>
    </row>
    <row r="33" spans="1:11" x14ac:dyDescent="0.2">
      <c r="A33" s="6" t="s">
        <v>13</v>
      </c>
      <c r="B33" s="6" t="s">
        <v>49</v>
      </c>
      <c r="C33" s="5">
        <v>131860000</v>
      </c>
      <c r="D33" s="14">
        <f>C33*$C$11/1000000</f>
        <v>15823200</v>
      </c>
      <c r="E33" s="18">
        <f>C33*$D$11/1000000</f>
        <v>12394.84</v>
      </c>
      <c r="F33" s="18">
        <f>C33*$E$11/1000000</f>
        <v>303.27800000000002</v>
      </c>
      <c r="G33" s="14">
        <f>D33+E33*296+F33*23</f>
        <v>19499048.034000002</v>
      </c>
    </row>
    <row r="34" spans="1:11" x14ac:dyDescent="0.2">
      <c r="A34" s="6"/>
      <c r="B34" s="6"/>
      <c r="C34" s="5"/>
      <c r="D34" s="14"/>
      <c r="E34" s="18"/>
      <c r="F34" s="18"/>
      <c r="G34" s="14"/>
    </row>
    <row r="35" spans="1:11" x14ac:dyDescent="0.2">
      <c r="A35" s="28" t="s">
        <v>66</v>
      </c>
      <c r="B35" s="6"/>
      <c r="C35" s="5"/>
      <c r="D35" s="14"/>
      <c r="E35" s="18"/>
      <c r="F35" s="18"/>
      <c r="G35" s="14"/>
      <c r="I35" s="19"/>
    </row>
    <row r="36" spans="1:11" x14ac:dyDescent="0.2">
      <c r="A36" s="6" t="s">
        <v>14</v>
      </c>
      <c r="B36" s="3" t="s">
        <v>50</v>
      </c>
      <c r="C36" s="5">
        <v>44268</v>
      </c>
      <c r="D36" s="14">
        <f>C36*$C$12</f>
        <v>87739176</v>
      </c>
      <c r="E36" s="18">
        <f>C36*$D$12</f>
        <v>1593.6479999999999</v>
      </c>
      <c r="F36" s="18">
        <f>C36*$E$12</f>
        <v>593.19119999999998</v>
      </c>
      <c r="G36" s="14">
        <f t="shared" si="0"/>
        <v>88224539.205599993</v>
      </c>
    </row>
    <row r="37" spans="1:11" x14ac:dyDescent="0.2">
      <c r="A37" s="6" t="s">
        <v>14</v>
      </c>
      <c r="B37" s="3" t="s">
        <v>51</v>
      </c>
      <c r="C37" s="5">
        <v>21766</v>
      </c>
      <c r="D37" s="14">
        <f>C37*$C$12</f>
        <v>43140212</v>
      </c>
      <c r="E37" s="18">
        <f>C37*$D$12</f>
        <v>783.57599999999991</v>
      </c>
      <c r="F37" s="18">
        <f>C37*$E$12</f>
        <v>291.6644</v>
      </c>
      <c r="G37" s="14">
        <f t="shared" si="0"/>
        <v>43378858.777199998</v>
      </c>
      <c r="I37" s="19"/>
    </row>
    <row r="38" spans="1:11" x14ac:dyDescent="0.2">
      <c r="A38" s="12" t="s">
        <v>30</v>
      </c>
      <c r="B38" s="12" t="s">
        <v>16</v>
      </c>
      <c r="C38" s="16">
        <v>313.8</v>
      </c>
      <c r="D38" s="14">
        <f>C38*$C$13</f>
        <v>932927.4</v>
      </c>
      <c r="E38" s="14">
        <f>C38*$D$13</f>
        <v>16.9452</v>
      </c>
      <c r="F38" s="14">
        <f>C38*$E$13</f>
        <v>6.3073800000000002</v>
      </c>
      <c r="G38" s="14">
        <f>D38+E38*296+F38*23</f>
        <v>938088.24893999996</v>
      </c>
    </row>
    <row r="39" spans="1:11" x14ac:dyDescent="0.2">
      <c r="A39" s="6" t="s">
        <v>31</v>
      </c>
      <c r="B39" s="6" t="s">
        <v>32</v>
      </c>
      <c r="C39" s="16">
        <v>344.4</v>
      </c>
      <c r="D39" s="14">
        <f>C39*$C$14</f>
        <v>1228681.44</v>
      </c>
      <c r="E39" s="14">
        <f>C39*$D$14</f>
        <v>22.317119999999996</v>
      </c>
      <c r="F39" s="14">
        <f>C39*$E$14</f>
        <v>8.306928000000001</v>
      </c>
      <c r="G39" s="14">
        <f>D39+E39*296+F39*23</f>
        <v>1235478.366864</v>
      </c>
    </row>
    <row r="41" spans="1:11" x14ac:dyDescent="0.2">
      <c r="F41" s="8" t="s">
        <v>22</v>
      </c>
      <c r="G41" s="15">
        <f>SUM(G25:G39)</f>
        <v>996957163.2367543</v>
      </c>
      <c r="H41" s="8" t="s">
        <v>23</v>
      </c>
      <c r="I41" s="26">
        <f>SUM(I26:I37)</f>
        <v>1</v>
      </c>
    </row>
    <row r="42" spans="1:11" x14ac:dyDescent="0.2">
      <c r="G42" s="25">
        <f>G41/2000</f>
        <v>498478.58161837712</v>
      </c>
      <c r="H42" s="8" t="s">
        <v>24</v>
      </c>
    </row>
    <row r="43" spans="1:11" customFormat="1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11" customFormat="1" x14ac:dyDescent="0.2">
      <c r="F44" s="23" t="s">
        <v>61</v>
      </c>
      <c r="G44" s="21">
        <f>G25+G26+G32</f>
        <v>836997838.48469996</v>
      </c>
      <c r="H44" s="8" t="s">
        <v>52</v>
      </c>
    </row>
    <row r="45" spans="1:11" customFormat="1" x14ac:dyDescent="0.2">
      <c r="G45" s="22">
        <f>G44/2000</f>
        <v>418498.91924234998</v>
      </c>
      <c r="H45" s="8" t="s">
        <v>43</v>
      </c>
    </row>
    <row r="46" spans="1:11" customFormat="1" x14ac:dyDescent="0.2">
      <c r="K46" s="21"/>
    </row>
    <row r="47" spans="1:11" customFormat="1" x14ac:dyDescent="0.2">
      <c r="F47" s="24" t="s">
        <v>60</v>
      </c>
      <c r="G47" s="21">
        <f>G36+G37</f>
        <v>131603397.98279999</v>
      </c>
      <c r="H47" s="8" t="s">
        <v>52</v>
      </c>
    </row>
    <row r="48" spans="1:11" customFormat="1" x14ac:dyDescent="0.2">
      <c r="G48" s="22">
        <f>G47/2000</f>
        <v>65801.698991400001</v>
      </c>
      <c r="H48" s="8" t="s">
        <v>43</v>
      </c>
      <c r="K48" s="22"/>
    </row>
    <row r="49" spans="1:9" customFormat="1" x14ac:dyDescent="0.2"/>
    <row r="50" spans="1:9" customFormat="1" x14ac:dyDescent="0.2">
      <c r="F50" s="24" t="s">
        <v>62</v>
      </c>
      <c r="G50" s="22">
        <f>G27+G28+G29+G30+G31+G33+G38+G39</f>
        <v>28355926.769254375</v>
      </c>
      <c r="H50" s="8" t="s">
        <v>52</v>
      </c>
    </row>
    <row r="51" spans="1:9" x14ac:dyDescent="0.2">
      <c r="A51"/>
      <c r="B51"/>
      <c r="C51"/>
      <c r="D51"/>
      <c r="E51"/>
      <c r="F51"/>
      <c r="G51" s="22">
        <f>G50/2000</f>
        <v>14177.963384627188</v>
      </c>
      <c r="H51" s="8" t="s">
        <v>43</v>
      </c>
      <c r="I51"/>
    </row>
    <row r="52" spans="1:9" ht="13.5" thickBot="1" x14ac:dyDescent="0.25">
      <c r="D52" s="17"/>
    </row>
    <row r="53" spans="1:9" x14ac:dyDescent="0.2">
      <c r="E53" s="29"/>
      <c r="F53" s="41" t="s">
        <v>67</v>
      </c>
      <c r="G53" s="30">
        <f>SUM(G26:G33)</f>
        <v>863180198.63815033</v>
      </c>
      <c r="H53" s="31" t="s">
        <v>52</v>
      </c>
    </row>
    <row r="54" spans="1:9" x14ac:dyDescent="0.2">
      <c r="E54" s="32"/>
      <c r="F54" s="33"/>
      <c r="G54" s="34">
        <f>G53/2000</f>
        <v>431590.09931907518</v>
      </c>
      <c r="H54" s="35" t="s">
        <v>43</v>
      </c>
    </row>
    <row r="55" spans="1:9" x14ac:dyDescent="0.2">
      <c r="E55" s="32"/>
      <c r="F55" s="33"/>
      <c r="G55" s="33"/>
      <c r="H55" s="35"/>
    </row>
    <row r="56" spans="1:9" x14ac:dyDescent="0.2">
      <c r="E56" s="32"/>
      <c r="F56" s="42" t="s">
        <v>68</v>
      </c>
      <c r="G56" s="36">
        <f>SUM(G36:G39)</f>
        <v>133776964.59860399</v>
      </c>
      <c r="H56" s="35" t="s">
        <v>52</v>
      </c>
    </row>
    <row r="57" spans="1:9" ht="13.5" thickBot="1" x14ac:dyDescent="0.25">
      <c r="E57" s="37"/>
      <c r="F57" s="38"/>
      <c r="G57" s="39">
        <f>G56/2000</f>
        <v>66888.482299301992</v>
      </c>
      <c r="H57" s="40" t="s">
        <v>43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topLeftCell="A22" workbookViewId="0">
      <selection activeCell="G51" sqref="G51"/>
    </sheetView>
  </sheetViews>
  <sheetFormatPr defaultColWidth="8.85546875" defaultRowHeight="12.75" x14ac:dyDescent="0.2"/>
  <cols>
    <col min="1" max="1" width="11.5703125" style="8" customWidth="1"/>
    <col min="2" max="2" width="22" style="8" bestFit="1" customWidth="1"/>
    <col min="3" max="3" width="14.85546875" style="8" customWidth="1"/>
    <col min="4" max="4" width="15.42578125" style="8" customWidth="1"/>
    <col min="5" max="6" width="11.85546875" style="8" customWidth="1"/>
    <col min="7" max="7" width="16.5703125" style="8" bestFit="1" customWidth="1"/>
    <col min="8" max="10" width="8.85546875" style="8"/>
    <col min="11" max="11" width="10.42578125" style="8" bestFit="1" customWidth="1"/>
    <col min="12" max="13" width="8.85546875" style="8"/>
    <col min="14" max="14" width="14" style="8" bestFit="1" customWidth="1"/>
    <col min="15" max="16384" width="8.85546875" style="8"/>
  </cols>
  <sheetData>
    <row r="1" spans="1:7" ht="15.75" x14ac:dyDescent="0.25">
      <c r="C1" s="2" t="s">
        <v>6</v>
      </c>
    </row>
    <row r="2" spans="1:7" ht="15.75" x14ac:dyDescent="0.25">
      <c r="C2" s="2"/>
    </row>
    <row r="3" spans="1:7" ht="15.75" x14ac:dyDescent="0.25">
      <c r="C3" s="2"/>
      <c r="E3" s="9" t="s">
        <v>8</v>
      </c>
      <c r="F3" s="9"/>
      <c r="G3" s="7"/>
    </row>
    <row r="4" spans="1:7" x14ac:dyDescent="0.2">
      <c r="A4" s="6"/>
      <c r="B4" s="6"/>
      <c r="C4" s="10" t="s">
        <v>3</v>
      </c>
      <c r="D4" s="10" t="s">
        <v>18</v>
      </c>
      <c r="E4" s="10" t="s">
        <v>5</v>
      </c>
      <c r="F4" s="7"/>
      <c r="G4" s="7"/>
    </row>
    <row r="5" spans="1:7" x14ac:dyDescent="0.2">
      <c r="A5" s="6" t="s">
        <v>0</v>
      </c>
      <c r="B5" s="6" t="s">
        <v>1</v>
      </c>
      <c r="C5" s="10">
        <v>6040</v>
      </c>
      <c r="D5" s="10">
        <v>0.04</v>
      </c>
      <c r="E5" s="10">
        <v>0.05</v>
      </c>
      <c r="F5" s="7" t="s">
        <v>7</v>
      </c>
      <c r="G5" s="7"/>
    </row>
    <row r="6" spans="1:7" x14ac:dyDescent="0.2">
      <c r="A6" s="6" t="s">
        <v>0</v>
      </c>
      <c r="B6" s="6" t="s">
        <v>2</v>
      </c>
      <c r="C6" s="10">
        <v>6040</v>
      </c>
      <c r="D6" s="10">
        <v>3.5</v>
      </c>
      <c r="E6" s="10">
        <v>0.06</v>
      </c>
      <c r="F6" s="7" t="s">
        <v>7</v>
      </c>
      <c r="G6" s="7"/>
    </row>
    <row r="7" spans="1:7" x14ac:dyDescent="0.2">
      <c r="A7" s="6" t="s">
        <v>28</v>
      </c>
      <c r="B7" s="6" t="s">
        <v>19</v>
      </c>
      <c r="C7" s="43">
        <f>10.21/2.0205</f>
        <v>5.0532046523137835</v>
      </c>
      <c r="D7" s="43">
        <f>0.26/1000/2.0205</f>
        <v>1.2868101954961644E-4</v>
      </c>
      <c r="E7" s="43">
        <f>0.26/1000/2.0205</f>
        <v>1.2868101954961644E-4</v>
      </c>
      <c r="F7" s="7" t="s">
        <v>29</v>
      </c>
      <c r="G7" s="11"/>
    </row>
    <row r="8" spans="1:7" x14ac:dyDescent="0.2">
      <c r="A8" s="6" t="s">
        <v>34</v>
      </c>
      <c r="B8" s="6" t="s">
        <v>27</v>
      </c>
      <c r="C8" s="43">
        <f>(8.87*0.9+5.75*0.1)/2.0205</f>
        <v>4.2355852511754515</v>
      </c>
      <c r="D8" s="43">
        <f>0.22/1000/2.0205</f>
        <v>1.0888393961890621E-4</v>
      </c>
      <c r="E8" s="43">
        <f>0.22/1000/2.0205</f>
        <v>1.0888393961890621E-4</v>
      </c>
      <c r="F8" s="7" t="s">
        <v>29</v>
      </c>
      <c r="G8" s="11"/>
    </row>
    <row r="9" spans="1:7" x14ac:dyDescent="0.2">
      <c r="A9" s="6" t="s">
        <v>35</v>
      </c>
      <c r="B9" s="6" t="s">
        <v>27</v>
      </c>
      <c r="C9" s="43">
        <f>(8.78*0.15+5.75*0.85)/2.0205</f>
        <v>3.0707745607522887</v>
      </c>
      <c r="D9" s="43">
        <f>0.22/1000/2.0205</f>
        <v>1.0888393961890621E-4</v>
      </c>
      <c r="E9" s="43">
        <f>0.22/1000/2.0205</f>
        <v>1.0888393961890621E-4</v>
      </c>
      <c r="F9" s="7" t="s">
        <v>29</v>
      </c>
      <c r="G9" s="11"/>
    </row>
    <row r="10" spans="1:7" x14ac:dyDescent="0.2">
      <c r="A10" s="6" t="s">
        <v>71</v>
      </c>
      <c r="B10" s="6" t="s">
        <v>70</v>
      </c>
      <c r="C10" s="43">
        <f>8.31/2.0205</f>
        <v>4.1128433556050483</v>
      </c>
      <c r="D10" s="43">
        <f>0.11/1000/2.0205</f>
        <v>5.4441969809453104E-5</v>
      </c>
      <c r="E10" s="43">
        <f>7.06/1000/2.0205</f>
        <v>3.4941846077703531E-3</v>
      </c>
      <c r="F10" s="7" t="s">
        <v>29</v>
      </c>
      <c r="G10" s="11"/>
    </row>
    <row r="11" spans="1:7" x14ac:dyDescent="0.2">
      <c r="A11" s="6" t="s">
        <v>13</v>
      </c>
      <c r="B11" s="6" t="s">
        <v>16</v>
      </c>
      <c r="C11" s="10">
        <v>120000</v>
      </c>
      <c r="D11" s="10">
        <v>94</v>
      </c>
      <c r="E11" s="10">
        <v>2.2999999999999998</v>
      </c>
      <c r="F11" s="7" t="s">
        <v>15</v>
      </c>
      <c r="G11" s="7"/>
    </row>
    <row r="12" spans="1:7" x14ac:dyDescent="0.2">
      <c r="A12" s="6" t="s">
        <v>14</v>
      </c>
      <c r="B12" s="6" t="s">
        <v>16</v>
      </c>
      <c r="C12" s="10">
        <v>1982</v>
      </c>
      <c r="D12" s="10">
        <v>3.5999999999999997E-2</v>
      </c>
      <c r="E12" s="10">
        <v>1.34E-2</v>
      </c>
      <c r="F12" s="7" t="s">
        <v>17</v>
      </c>
      <c r="G12" s="7"/>
    </row>
    <row r="13" spans="1:7" x14ac:dyDescent="0.2">
      <c r="A13" s="12" t="s">
        <v>30</v>
      </c>
      <c r="B13" s="12" t="s">
        <v>16</v>
      </c>
      <c r="C13" s="10">
        <f>C12*1.5</f>
        <v>2973</v>
      </c>
      <c r="D13" s="10">
        <f>D12*1.5</f>
        <v>5.3999999999999992E-2</v>
      </c>
      <c r="E13" s="10">
        <f>E12*1.5</f>
        <v>2.01E-2</v>
      </c>
      <c r="F13" s="7" t="s">
        <v>33</v>
      </c>
      <c r="G13" s="7"/>
    </row>
    <row r="14" spans="1:7" x14ac:dyDescent="0.2">
      <c r="A14" s="6" t="s">
        <v>31</v>
      </c>
      <c r="B14" s="6" t="s">
        <v>32</v>
      </c>
      <c r="C14" s="10">
        <f>C12*1.8</f>
        <v>3567.6</v>
      </c>
      <c r="D14" s="10">
        <f>D12*1.8</f>
        <v>6.4799999999999996E-2</v>
      </c>
      <c r="E14" s="10">
        <f>E12*1.8</f>
        <v>2.4120000000000003E-2</v>
      </c>
      <c r="F14" s="7" t="s">
        <v>33</v>
      </c>
      <c r="G14" s="7"/>
    </row>
    <row r="16" spans="1:7" x14ac:dyDescent="0.2">
      <c r="A16" s="4" t="s">
        <v>9</v>
      </c>
    </row>
    <row r="17" spans="1:15" x14ac:dyDescent="0.2">
      <c r="A17" s="8" t="s">
        <v>3</v>
      </c>
      <c r="B17" s="8" t="s">
        <v>10</v>
      </c>
    </row>
    <row r="18" spans="1:15" x14ac:dyDescent="0.2">
      <c r="A18" s="8" t="s">
        <v>4</v>
      </c>
      <c r="B18" s="8" t="s">
        <v>11</v>
      </c>
    </row>
    <row r="19" spans="1:15" x14ac:dyDescent="0.2">
      <c r="A19" s="8" t="s">
        <v>5</v>
      </c>
      <c r="B19" s="8" t="s">
        <v>12</v>
      </c>
    </row>
    <row r="20" spans="1:15" x14ac:dyDescent="0.2">
      <c r="G20" s="17"/>
    </row>
    <row r="22" spans="1:15" ht="15.75" x14ac:dyDescent="0.25">
      <c r="A22" s="2" t="s">
        <v>25</v>
      </c>
    </row>
    <row r="23" spans="1:15" ht="15.75" x14ac:dyDescent="0.25">
      <c r="A23" s="4" t="s">
        <v>44</v>
      </c>
      <c r="D23" s="2"/>
      <c r="F23" s="8" t="s">
        <v>8</v>
      </c>
    </row>
    <row r="24" spans="1:15" x14ac:dyDescent="0.2">
      <c r="A24" s="28" t="s">
        <v>65</v>
      </c>
      <c r="B24" s="6"/>
      <c r="C24" s="10" t="s">
        <v>20</v>
      </c>
      <c r="D24" s="10" t="s">
        <v>3</v>
      </c>
      <c r="E24" s="10" t="s">
        <v>18</v>
      </c>
      <c r="F24" s="10" t="s">
        <v>5</v>
      </c>
      <c r="G24" s="10" t="s">
        <v>21</v>
      </c>
    </row>
    <row r="25" spans="1:15" x14ac:dyDescent="0.2">
      <c r="A25" s="6" t="s">
        <v>0</v>
      </c>
      <c r="B25" s="6" t="s">
        <v>1</v>
      </c>
      <c r="C25" s="5">
        <f>16635+24020</f>
        <v>40655</v>
      </c>
      <c r="D25" s="14">
        <f>C25*$C$5</f>
        <v>245556200</v>
      </c>
      <c r="E25" s="18">
        <f>C25*$D$5</f>
        <v>1626.2</v>
      </c>
      <c r="F25" s="18">
        <f>C25*$E$5</f>
        <v>2032.75</v>
      </c>
      <c r="G25" s="14">
        <f t="shared" ref="G25:G37" si="0">D25+E25*296+F25*23</f>
        <v>246084308.44999999</v>
      </c>
      <c r="K25" s="15">
        <v>49215</v>
      </c>
      <c r="L25" s="8" t="s">
        <v>39</v>
      </c>
      <c r="N25" s="15">
        <v>11600</v>
      </c>
      <c r="O25" s="8" t="s">
        <v>38</v>
      </c>
    </row>
    <row r="26" spans="1:15" x14ac:dyDescent="0.2">
      <c r="A26" s="6" t="s">
        <v>0</v>
      </c>
      <c r="B26" s="6" t="s">
        <v>2</v>
      </c>
      <c r="C26" s="5">
        <f>47865+48456</f>
        <v>96321</v>
      </c>
      <c r="D26" s="14">
        <f>C26*$C$6</f>
        <v>581778840</v>
      </c>
      <c r="E26" s="18">
        <f>C26*$D$6</f>
        <v>337123.5</v>
      </c>
      <c r="F26" s="18">
        <f>C26*$E$6</f>
        <v>5779.26</v>
      </c>
      <c r="G26" s="14">
        <f t="shared" si="0"/>
        <v>681700318.98000002</v>
      </c>
    </row>
    <row r="27" spans="1:15" x14ac:dyDescent="0.2">
      <c r="A27" s="6" t="s">
        <v>28</v>
      </c>
      <c r="B27" s="6" t="s">
        <v>19</v>
      </c>
      <c r="C27" s="20">
        <v>80804.55</v>
      </c>
      <c r="D27" s="14">
        <f>C27*$C$7</f>
        <v>408321.92798812175</v>
      </c>
      <c r="E27" s="14">
        <f>C27*7*20300*$D$7/1000000</f>
        <v>1.477557487899035</v>
      </c>
      <c r="F27" s="14">
        <f>C27*7*20300*$E$7/1000000</f>
        <v>1.477557487899035</v>
      </c>
      <c r="G27" s="14">
        <f t="shared" si="0"/>
        <v>408793.26882676157</v>
      </c>
      <c r="K27" s="15">
        <f>K25*2000*N25/1000000</f>
        <v>1141788</v>
      </c>
      <c r="L27" s="8" t="s">
        <v>40</v>
      </c>
      <c r="N27" s="17">
        <f>K27</f>
        <v>1141788</v>
      </c>
      <c r="O27" s="8" t="s">
        <v>41</v>
      </c>
    </row>
    <row r="28" spans="1:15" x14ac:dyDescent="0.2">
      <c r="A28" s="6" t="s">
        <v>34</v>
      </c>
      <c r="B28" s="6" t="s">
        <v>27</v>
      </c>
      <c r="C28" s="20">
        <v>199418.68</v>
      </c>
      <c r="D28" s="18">
        <f>C28*$C$8</f>
        <v>844654.8198168769</v>
      </c>
      <c r="E28" s="14">
        <f>C28*7*20300*$D$8/1000000</f>
        <v>3.0854871438554814</v>
      </c>
      <c r="F28" s="14">
        <f>C28*7*20300*$E$8/1000000</f>
        <v>3.0854871438554814</v>
      </c>
      <c r="G28" s="14">
        <f t="shared" si="0"/>
        <v>845639.0902157668</v>
      </c>
    </row>
    <row r="29" spans="1:15" x14ac:dyDescent="0.2">
      <c r="A29" s="6" t="s">
        <v>35</v>
      </c>
      <c r="B29" s="6" t="s">
        <v>27</v>
      </c>
      <c r="C29" s="20">
        <v>87568.639999999999</v>
      </c>
      <c r="D29" s="18">
        <f>C29*$C$9</f>
        <v>268903.5520316753</v>
      </c>
      <c r="E29" s="14">
        <f>C29*7*20300*$D$9/1000000</f>
        <v>1.3548977103093294</v>
      </c>
      <c r="F29" s="14">
        <f>C29*7*20300*$E$9/1000000</f>
        <v>1.3548977103093294</v>
      </c>
      <c r="G29" s="14">
        <f>D29+E29*296+F29*23</f>
        <v>269335.76440126396</v>
      </c>
      <c r="N29" s="17">
        <f>N27*1000</f>
        <v>1141788000</v>
      </c>
      <c r="O29" s="8" t="s">
        <v>42</v>
      </c>
    </row>
    <row r="30" spans="1:15" x14ac:dyDescent="0.2">
      <c r="A30" s="6" t="s">
        <v>71</v>
      </c>
      <c r="B30" s="6" t="s">
        <v>69</v>
      </c>
      <c r="C30" s="20">
        <v>19000</v>
      </c>
      <c r="D30" s="18">
        <f>C30*C10</f>
        <v>78144.023756495924</v>
      </c>
      <c r="E30" s="14">
        <f>C30*D10</f>
        <v>1.034397426379609</v>
      </c>
      <c r="F30" s="14">
        <f>C30*E10</f>
        <v>66.389507547636711</v>
      </c>
      <c r="G30" s="14">
        <f>D30+E30*296+F30*23</f>
        <v>79977.164068299928</v>
      </c>
    </row>
    <row r="31" spans="1:15" x14ac:dyDescent="0.2">
      <c r="A31" s="6" t="s">
        <v>13</v>
      </c>
      <c r="B31" s="6" t="s">
        <v>47</v>
      </c>
      <c r="C31" s="5">
        <v>26091300</v>
      </c>
      <c r="D31" s="14">
        <f>C31*$C$11/1000000</f>
        <v>3130956</v>
      </c>
      <c r="E31" s="18">
        <f>C31*$D$11/1000000</f>
        <v>2452.5821999999998</v>
      </c>
      <c r="F31" s="18">
        <f>C31*$E$11/1000000</f>
        <v>60.009989999999995</v>
      </c>
      <c r="G31" s="14">
        <f>D31+E31*296+F31*23</f>
        <v>3858300.56097</v>
      </c>
    </row>
    <row r="32" spans="1:15" x14ac:dyDescent="0.2">
      <c r="A32" s="6" t="s">
        <v>13</v>
      </c>
      <c r="B32" s="6" t="s">
        <v>48</v>
      </c>
      <c r="C32" s="5">
        <v>29134000</v>
      </c>
      <c r="D32" s="14">
        <f>C32*$C$11/1000000</f>
        <v>3496080</v>
      </c>
      <c r="E32" s="18">
        <f>C32*$D$11/1000000</f>
        <v>2738.596</v>
      </c>
      <c r="F32" s="18">
        <f>C32*$E$11/1000000</f>
        <v>67.008199999999988</v>
      </c>
      <c r="G32" s="14">
        <f>D32+E32*296+F32*23</f>
        <v>4308245.6046000002</v>
      </c>
    </row>
    <row r="33" spans="1:8" x14ac:dyDescent="0.2">
      <c r="A33" s="6" t="s">
        <v>13</v>
      </c>
      <c r="B33" s="6" t="s">
        <v>49</v>
      </c>
      <c r="C33" s="5">
        <v>119661000</v>
      </c>
      <c r="D33" s="14">
        <f>C33*$C$11/1000000</f>
        <v>14359320</v>
      </c>
      <c r="E33" s="18">
        <f>C33*$D$11/1000000</f>
        <v>11248.134</v>
      </c>
      <c r="F33" s="18">
        <f>C33*$E$11/1000000</f>
        <v>275.22030000000001</v>
      </c>
      <c r="G33" s="14">
        <f>D33+E33*296+F33*23</f>
        <v>17695097.730900001</v>
      </c>
    </row>
    <row r="34" spans="1:8" x14ac:dyDescent="0.2">
      <c r="A34" s="6"/>
      <c r="B34" s="6"/>
      <c r="C34" s="5"/>
      <c r="D34" s="14"/>
      <c r="E34" s="18"/>
      <c r="F34" s="18"/>
      <c r="G34" s="14"/>
    </row>
    <row r="35" spans="1:8" x14ac:dyDescent="0.2">
      <c r="A35" s="28" t="s">
        <v>66</v>
      </c>
      <c r="B35" s="6"/>
      <c r="C35" s="5"/>
      <c r="D35" s="14"/>
      <c r="E35" s="18"/>
      <c r="F35" s="18"/>
      <c r="G35" s="14"/>
    </row>
    <row r="36" spans="1:8" x14ac:dyDescent="0.2">
      <c r="A36" s="6" t="s">
        <v>14</v>
      </c>
      <c r="B36" s="3" t="s">
        <v>50</v>
      </c>
      <c r="C36" s="5">
        <v>29819</v>
      </c>
      <c r="D36" s="14">
        <f>C36*$C$12</f>
        <v>59101258</v>
      </c>
      <c r="E36" s="18">
        <f>C36*$D$12</f>
        <v>1073.4839999999999</v>
      </c>
      <c r="F36" s="18">
        <f>C36*$E$12</f>
        <v>399.57460000000003</v>
      </c>
      <c r="G36" s="14">
        <f t="shared" si="0"/>
        <v>59428199.479800001</v>
      </c>
    </row>
    <row r="37" spans="1:8" x14ac:dyDescent="0.2">
      <c r="A37" s="6" t="s">
        <v>14</v>
      </c>
      <c r="B37" s="3" t="s">
        <v>51</v>
      </c>
      <c r="C37" s="5">
        <v>20785</v>
      </c>
      <c r="D37" s="14">
        <f>C37*$C$12</f>
        <v>41195870</v>
      </c>
      <c r="E37" s="18">
        <f>C37*$D$12</f>
        <v>748.26</v>
      </c>
      <c r="F37" s="18">
        <f>C37*$E$12</f>
        <v>278.51900000000001</v>
      </c>
      <c r="G37" s="14">
        <f t="shared" si="0"/>
        <v>41423760.897</v>
      </c>
    </row>
    <row r="38" spans="1:8" x14ac:dyDescent="0.2">
      <c r="A38" s="12" t="s">
        <v>30</v>
      </c>
      <c r="B38" s="12" t="s">
        <v>16</v>
      </c>
      <c r="C38" s="16">
        <v>318.5</v>
      </c>
      <c r="D38" s="14">
        <f>C38*$C$13</f>
        <v>946900.5</v>
      </c>
      <c r="E38" s="14">
        <f>C38*$D$13</f>
        <v>17.198999999999998</v>
      </c>
      <c r="F38" s="14">
        <f>C38*$E$13</f>
        <v>6.4018499999999996</v>
      </c>
      <c r="G38" s="14">
        <f>D38+E38*296+F38*23</f>
        <v>952138.64654999995</v>
      </c>
    </row>
    <row r="39" spans="1:8" x14ac:dyDescent="0.2">
      <c r="A39" s="6" t="s">
        <v>31</v>
      </c>
      <c r="B39" s="6" t="s">
        <v>32</v>
      </c>
      <c r="C39" s="16">
        <v>347.6</v>
      </c>
      <c r="D39" s="14">
        <f>C39*$C$14</f>
        <v>1240097.76</v>
      </c>
      <c r="E39" s="14">
        <f>C39*$D$14</f>
        <v>22.524480000000001</v>
      </c>
      <c r="F39" s="14">
        <f>C39*$E$14</f>
        <v>8.3841120000000018</v>
      </c>
      <c r="G39" s="14">
        <f>D39+E39*296+F39*23</f>
        <v>1246957.840656</v>
      </c>
    </row>
    <row r="41" spans="1:8" x14ac:dyDescent="0.2">
      <c r="F41" s="23" t="s">
        <v>22</v>
      </c>
      <c r="G41" s="15">
        <f>SUM(G25:G39)</f>
        <v>1058301073.4779882</v>
      </c>
      <c r="H41" s="8" t="s">
        <v>23</v>
      </c>
    </row>
    <row r="42" spans="1:8" x14ac:dyDescent="0.2">
      <c r="G42" s="15">
        <f>G41/2000</f>
        <v>529150.53673899407</v>
      </c>
      <c r="H42" s="8" t="s">
        <v>24</v>
      </c>
    </row>
    <row r="43" spans="1:8" customFormat="1" x14ac:dyDescent="0.2">
      <c r="A43" s="8"/>
      <c r="B43" s="8"/>
      <c r="C43" s="8"/>
      <c r="D43" s="8"/>
      <c r="E43" s="8"/>
      <c r="F43" s="8"/>
      <c r="G43" s="8"/>
      <c r="H43" s="8"/>
    </row>
    <row r="44" spans="1:8" customFormat="1" x14ac:dyDescent="0.2">
      <c r="F44" s="23" t="s">
        <v>61</v>
      </c>
      <c r="G44" s="21">
        <f>G25+G26+G32</f>
        <v>932092873.03460002</v>
      </c>
      <c r="H44" s="8" t="s">
        <v>52</v>
      </c>
    </row>
    <row r="45" spans="1:8" customFormat="1" x14ac:dyDescent="0.2">
      <c r="G45" s="22">
        <f>G44/2000</f>
        <v>466046.43651730003</v>
      </c>
      <c r="H45" s="8" t="s">
        <v>43</v>
      </c>
    </row>
    <row r="46" spans="1:8" customFormat="1" x14ac:dyDescent="0.2"/>
    <row r="47" spans="1:8" customFormat="1" x14ac:dyDescent="0.2">
      <c r="F47" s="24" t="s">
        <v>60</v>
      </c>
      <c r="G47" s="21">
        <f>G36+G37</f>
        <v>100851960.3768</v>
      </c>
      <c r="H47" s="8" t="s">
        <v>52</v>
      </c>
    </row>
    <row r="48" spans="1:8" customFormat="1" x14ac:dyDescent="0.2">
      <c r="G48" s="22">
        <f>G47/2000</f>
        <v>50425.980188399997</v>
      </c>
      <c r="H48" s="8" t="s">
        <v>43</v>
      </c>
    </row>
    <row r="49" spans="1:8" customFormat="1" x14ac:dyDescent="0.2"/>
    <row r="50" spans="1:8" customFormat="1" x14ac:dyDescent="0.2">
      <c r="F50" s="24" t="s">
        <v>62</v>
      </c>
      <c r="G50" s="22">
        <f>G27+G28+G29+G30+G31+G33+G38+G39</f>
        <v>25356240.066588093</v>
      </c>
      <c r="H50" s="8" t="s">
        <v>52</v>
      </c>
    </row>
    <row r="51" spans="1:8" x14ac:dyDescent="0.2">
      <c r="A51"/>
      <c r="B51"/>
      <c r="C51"/>
      <c r="D51"/>
      <c r="E51"/>
      <c r="F51"/>
      <c r="G51" s="22">
        <f>G50/2000</f>
        <v>12678.120033294046</v>
      </c>
      <c r="H51" s="8" t="s">
        <v>43</v>
      </c>
    </row>
    <row r="52" spans="1:8" ht="13.5" thickBot="1" x14ac:dyDescent="0.25">
      <c r="D52" s="17"/>
    </row>
    <row r="53" spans="1:8" x14ac:dyDescent="0.2">
      <c r="E53" s="29"/>
      <c r="F53" s="41" t="s">
        <v>67</v>
      </c>
      <c r="G53" s="30">
        <f>SUM(G25:G33)</f>
        <v>955250016.6139822</v>
      </c>
      <c r="H53" s="31" t="s">
        <v>52</v>
      </c>
    </row>
    <row r="54" spans="1:8" x14ac:dyDescent="0.2">
      <c r="E54" s="32"/>
      <c r="F54" s="33"/>
      <c r="G54" s="34">
        <f>G53/2000</f>
        <v>477625.00830699108</v>
      </c>
      <c r="H54" s="35" t="s">
        <v>43</v>
      </c>
    </row>
    <row r="55" spans="1:8" x14ac:dyDescent="0.2">
      <c r="E55" s="32"/>
      <c r="F55" s="33"/>
      <c r="G55" s="33"/>
      <c r="H55" s="35"/>
    </row>
    <row r="56" spans="1:8" x14ac:dyDescent="0.2">
      <c r="E56" s="32"/>
      <c r="F56" s="42" t="s">
        <v>68</v>
      </c>
      <c r="G56" s="36">
        <f>SUM(G36:G39)</f>
        <v>103051056.864006</v>
      </c>
      <c r="H56" s="35" t="s">
        <v>52</v>
      </c>
    </row>
    <row r="57" spans="1:8" ht="13.5" thickBot="1" x14ac:dyDescent="0.25">
      <c r="E57" s="37"/>
      <c r="F57" s="38"/>
      <c r="G57" s="39">
        <f>G56/2000</f>
        <v>51525.528432002997</v>
      </c>
      <c r="H57" s="40" t="s">
        <v>43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7"/>
  <sheetViews>
    <sheetView topLeftCell="A7" workbookViewId="0">
      <selection activeCell="E38" sqref="E38"/>
    </sheetView>
  </sheetViews>
  <sheetFormatPr defaultColWidth="8.85546875" defaultRowHeight="12.75" x14ac:dyDescent="0.2"/>
  <cols>
    <col min="1" max="1" width="11.5703125" style="8" customWidth="1"/>
    <col min="2" max="2" width="19.140625" style="8" bestFit="1" customWidth="1"/>
    <col min="3" max="3" width="14.85546875" style="8" customWidth="1"/>
    <col min="4" max="4" width="15.42578125" style="8" customWidth="1"/>
    <col min="5" max="6" width="11.85546875" style="8" customWidth="1"/>
    <col min="7" max="7" width="16.5703125" style="8" bestFit="1" customWidth="1"/>
    <col min="8" max="10" width="8.85546875" style="8"/>
    <col min="11" max="11" width="10.42578125" style="8" bestFit="1" customWidth="1"/>
    <col min="12" max="13" width="8.85546875" style="8"/>
    <col min="14" max="14" width="14" style="8" bestFit="1" customWidth="1"/>
    <col min="15" max="16384" width="8.85546875" style="8"/>
  </cols>
  <sheetData>
    <row r="1" spans="1:7" ht="15.75" x14ac:dyDescent="0.25">
      <c r="C1" s="2" t="s">
        <v>6</v>
      </c>
    </row>
    <row r="2" spans="1:7" ht="15.75" x14ac:dyDescent="0.25">
      <c r="C2" s="2"/>
    </row>
    <row r="3" spans="1:7" ht="15.75" x14ac:dyDescent="0.25">
      <c r="C3" s="2"/>
      <c r="E3" s="9" t="s">
        <v>8</v>
      </c>
      <c r="F3" s="9"/>
      <c r="G3" s="7"/>
    </row>
    <row r="4" spans="1:7" x14ac:dyDescent="0.2">
      <c r="A4" s="6"/>
      <c r="B4" s="6"/>
      <c r="C4" s="10" t="s">
        <v>3</v>
      </c>
      <c r="D4" s="10" t="s">
        <v>18</v>
      </c>
      <c r="E4" s="10" t="s">
        <v>5</v>
      </c>
      <c r="F4" s="7"/>
      <c r="G4" s="7"/>
    </row>
    <row r="5" spans="1:7" x14ac:dyDescent="0.2">
      <c r="A5" s="6" t="s">
        <v>0</v>
      </c>
      <c r="B5" s="6" t="s">
        <v>1</v>
      </c>
      <c r="C5" s="10">
        <v>6040</v>
      </c>
      <c r="D5" s="10">
        <v>0.04</v>
      </c>
      <c r="E5" s="10">
        <v>0.05</v>
      </c>
      <c r="F5" s="7" t="s">
        <v>7</v>
      </c>
      <c r="G5" s="7"/>
    </row>
    <row r="6" spans="1:7" x14ac:dyDescent="0.2">
      <c r="A6" s="6" t="s">
        <v>0</v>
      </c>
      <c r="B6" s="6" t="s">
        <v>2</v>
      </c>
      <c r="C6" s="10">
        <v>6040</v>
      </c>
      <c r="D6" s="10">
        <v>3.5</v>
      </c>
      <c r="E6" s="10">
        <v>0.06</v>
      </c>
      <c r="F6" s="7" t="s">
        <v>7</v>
      </c>
      <c r="G6" s="7"/>
    </row>
    <row r="7" spans="1:7" x14ac:dyDescent="0.2">
      <c r="A7" s="6" t="s">
        <v>28</v>
      </c>
      <c r="B7" s="6" t="s">
        <v>19</v>
      </c>
      <c r="C7" s="43">
        <f>10.21/2.0205</f>
        <v>5.0532046523137835</v>
      </c>
      <c r="D7" s="43">
        <f>0.26/1000/2.0205</f>
        <v>1.2868101954961644E-4</v>
      </c>
      <c r="E7" s="43">
        <f>0.26/1000/2.0205</f>
        <v>1.2868101954961644E-4</v>
      </c>
      <c r="F7" s="7" t="s">
        <v>29</v>
      </c>
      <c r="G7" s="11"/>
    </row>
    <row r="8" spans="1:7" x14ac:dyDescent="0.2">
      <c r="A8" s="6" t="s">
        <v>34</v>
      </c>
      <c r="B8" s="6" t="s">
        <v>27</v>
      </c>
      <c r="C8" s="43">
        <f>(8.87*0.9+5.75*0.1)/2.0205</f>
        <v>4.2355852511754515</v>
      </c>
      <c r="D8" s="43">
        <f>0.22/1000/2.0205</f>
        <v>1.0888393961890621E-4</v>
      </c>
      <c r="E8" s="43">
        <f>0.22/1000/2.0205</f>
        <v>1.0888393961890621E-4</v>
      </c>
      <c r="F8" s="7" t="s">
        <v>29</v>
      </c>
      <c r="G8" s="11"/>
    </row>
    <row r="9" spans="1:7" x14ac:dyDescent="0.2">
      <c r="A9" s="6" t="s">
        <v>35</v>
      </c>
      <c r="B9" s="6" t="s">
        <v>27</v>
      </c>
      <c r="C9" s="43">
        <f>(8.78*0.15+5.75*0.85)/2.0205</f>
        <v>3.0707745607522887</v>
      </c>
      <c r="D9" s="43">
        <f>0.22/1000/2.0205</f>
        <v>1.0888393961890621E-4</v>
      </c>
      <c r="E9" s="43">
        <f>0.22/1000/2.0205</f>
        <v>1.0888393961890621E-4</v>
      </c>
      <c r="F9" s="7" t="s">
        <v>29</v>
      </c>
      <c r="G9" s="11"/>
    </row>
    <row r="10" spans="1:7" x14ac:dyDescent="0.2">
      <c r="A10" s="6" t="s">
        <v>71</v>
      </c>
      <c r="B10" s="6" t="s">
        <v>70</v>
      </c>
      <c r="C10" s="43">
        <f>8.31/2.0205</f>
        <v>4.1128433556050483</v>
      </c>
      <c r="D10" s="43">
        <f>0.11/1000/2.0205</f>
        <v>5.4441969809453104E-5</v>
      </c>
      <c r="E10" s="43">
        <f>7.06/1000/2.0205</f>
        <v>3.4941846077703531E-3</v>
      </c>
      <c r="F10" s="7" t="s">
        <v>29</v>
      </c>
      <c r="G10" s="11"/>
    </row>
    <row r="11" spans="1:7" x14ac:dyDescent="0.2">
      <c r="A11" s="6" t="s">
        <v>13</v>
      </c>
      <c r="B11" s="6" t="s">
        <v>16</v>
      </c>
      <c r="C11" s="10">
        <v>120000</v>
      </c>
      <c r="D11" s="10">
        <v>94</v>
      </c>
      <c r="E11" s="10">
        <v>2.2999999999999998</v>
      </c>
      <c r="F11" s="7" t="s">
        <v>15</v>
      </c>
      <c r="G11" s="7"/>
    </row>
    <row r="12" spans="1:7" x14ac:dyDescent="0.2">
      <c r="A12" s="6" t="s">
        <v>14</v>
      </c>
      <c r="B12" s="6" t="s">
        <v>16</v>
      </c>
      <c r="C12" s="10">
        <v>1982</v>
      </c>
      <c r="D12" s="10">
        <v>3.5999999999999997E-2</v>
      </c>
      <c r="E12" s="10">
        <v>1.34E-2</v>
      </c>
      <c r="F12" s="7" t="s">
        <v>17</v>
      </c>
      <c r="G12" s="7"/>
    </row>
    <row r="13" spans="1:7" x14ac:dyDescent="0.2">
      <c r="A13" s="12" t="s">
        <v>30</v>
      </c>
      <c r="B13" s="12" t="s">
        <v>16</v>
      </c>
      <c r="C13" s="10">
        <f>C12*1.5</f>
        <v>2973</v>
      </c>
      <c r="D13" s="10">
        <f>D12*1.5</f>
        <v>5.3999999999999992E-2</v>
      </c>
      <c r="E13" s="10">
        <f>E12*1.5</f>
        <v>2.01E-2</v>
      </c>
      <c r="F13" s="7" t="s">
        <v>33</v>
      </c>
      <c r="G13" s="7"/>
    </row>
    <row r="14" spans="1:7" x14ac:dyDescent="0.2">
      <c r="A14" s="6" t="s">
        <v>31</v>
      </c>
      <c r="B14" s="6" t="s">
        <v>32</v>
      </c>
      <c r="C14" s="10">
        <f>C12*1.8</f>
        <v>3567.6</v>
      </c>
      <c r="D14" s="10">
        <f>D12*1.8</f>
        <v>6.4799999999999996E-2</v>
      </c>
      <c r="E14" s="10">
        <f>E12*1.8</f>
        <v>2.4120000000000003E-2</v>
      </c>
      <c r="F14" s="7" t="s">
        <v>33</v>
      </c>
      <c r="G14" s="7"/>
    </row>
    <row r="16" spans="1:7" x14ac:dyDescent="0.2">
      <c r="A16" s="4" t="s">
        <v>9</v>
      </c>
    </row>
    <row r="17" spans="1:15" x14ac:dyDescent="0.2">
      <c r="A17" s="8" t="s">
        <v>3</v>
      </c>
      <c r="B17" s="8" t="s">
        <v>10</v>
      </c>
    </row>
    <row r="18" spans="1:15" x14ac:dyDescent="0.2">
      <c r="A18" s="8" t="s">
        <v>4</v>
      </c>
      <c r="B18" s="8" t="s">
        <v>11</v>
      </c>
    </row>
    <row r="19" spans="1:15" x14ac:dyDescent="0.2">
      <c r="A19" s="8" t="s">
        <v>5</v>
      </c>
      <c r="B19" s="8" t="s">
        <v>12</v>
      </c>
    </row>
    <row r="20" spans="1:15" x14ac:dyDescent="0.2">
      <c r="G20" s="17"/>
    </row>
    <row r="22" spans="1:15" ht="15.75" x14ac:dyDescent="0.25">
      <c r="A22" s="2" t="s">
        <v>25</v>
      </c>
    </row>
    <row r="23" spans="1:15" ht="15.75" x14ac:dyDescent="0.25">
      <c r="A23" s="4" t="s">
        <v>37</v>
      </c>
      <c r="D23" s="2"/>
      <c r="F23" s="8" t="s">
        <v>8</v>
      </c>
    </row>
    <row r="24" spans="1:15" x14ac:dyDescent="0.2">
      <c r="A24" s="28" t="s">
        <v>65</v>
      </c>
      <c r="B24" s="6"/>
      <c r="C24" s="10" t="s">
        <v>20</v>
      </c>
      <c r="D24" s="10" t="s">
        <v>3</v>
      </c>
      <c r="E24" s="10" t="s">
        <v>18</v>
      </c>
      <c r="F24" s="10" t="s">
        <v>5</v>
      </c>
      <c r="G24" s="10" t="s">
        <v>21</v>
      </c>
    </row>
    <row r="25" spans="1:15" x14ac:dyDescent="0.2">
      <c r="A25" s="6" t="s">
        <v>0</v>
      </c>
      <c r="B25" s="6" t="s">
        <v>1</v>
      </c>
      <c r="C25" s="5">
        <f>17409+31806</f>
        <v>49215</v>
      </c>
      <c r="D25" s="14">
        <f>C25*$C$5</f>
        <v>297258600</v>
      </c>
      <c r="E25" s="18">
        <f>C25*$D$5</f>
        <v>1968.6000000000001</v>
      </c>
      <c r="F25" s="18">
        <f>C25*$E$5</f>
        <v>2460.75</v>
      </c>
      <c r="G25" s="14">
        <f t="shared" ref="G25:G34" si="0">D25+E25*296+F25*23</f>
        <v>297897902.85000002</v>
      </c>
      <c r="K25" s="15">
        <v>49215</v>
      </c>
      <c r="L25" s="8" t="s">
        <v>39</v>
      </c>
      <c r="N25" s="15">
        <v>11600</v>
      </c>
      <c r="O25" s="8" t="s">
        <v>38</v>
      </c>
    </row>
    <row r="26" spans="1:15" x14ac:dyDescent="0.2">
      <c r="A26" s="6" t="s">
        <v>0</v>
      </c>
      <c r="B26" s="6" t="s">
        <v>2</v>
      </c>
      <c r="C26" s="5">
        <f>43211+42206</f>
        <v>85417</v>
      </c>
      <c r="D26" s="14">
        <f>C26*$C$6</f>
        <v>515918680</v>
      </c>
      <c r="E26" s="18">
        <f>C26*$D$6</f>
        <v>298959.5</v>
      </c>
      <c r="F26" s="18">
        <f>C26*$E$6</f>
        <v>5125.0199999999995</v>
      </c>
      <c r="G26" s="14">
        <f t="shared" si="0"/>
        <v>604528567.46000004</v>
      </c>
    </row>
    <row r="27" spans="1:15" x14ac:dyDescent="0.2">
      <c r="A27" s="6" t="s">
        <v>28</v>
      </c>
      <c r="B27" s="6" t="s">
        <v>19</v>
      </c>
      <c r="C27" s="5">
        <v>70845</v>
      </c>
      <c r="D27" s="14">
        <f>C27*$C$7</f>
        <v>357994.28359317</v>
      </c>
      <c r="E27" s="14">
        <f>C27*7*20300*$D$7/1000000</f>
        <v>1.2954414105419452</v>
      </c>
      <c r="F27" s="14">
        <f>C27*7*20300*$E$7/1000000</f>
        <v>1.2954414105419452</v>
      </c>
      <c r="G27" s="14">
        <f t="shared" si="0"/>
        <v>358407.52940313291</v>
      </c>
      <c r="K27" s="15">
        <f>K25*2000*N25/1000000</f>
        <v>1141788</v>
      </c>
      <c r="L27" s="8" t="s">
        <v>40</v>
      </c>
      <c r="N27" s="17">
        <f>K27</f>
        <v>1141788</v>
      </c>
      <c r="O27" s="8" t="s">
        <v>41</v>
      </c>
    </row>
    <row r="28" spans="1:15" x14ac:dyDescent="0.2">
      <c r="A28" s="6" t="s">
        <v>34</v>
      </c>
      <c r="B28" s="6" t="s">
        <v>27</v>
      </c>
      <c r="C28" s="5">
        <v>201595</v>
      </c>
      <c r="D28" s="18">
        <f>C28*$C$8</f>
        <v>853872.80871071515</v>
      </c>
      <c r="E28" s="14">
        <f>C28*7*20300*$D$8/1000000</f>
        <v>3.11916005444197</v>
      </c>
      <c r="F28" s="14">
        <f>C28*7*20300*$E$8/1000000</f>
        <v>3.11916005444197</v>
      </c>
      <c r="G28" s="14">
        <f t="shared" si="0"/>
        <v>854867.82076808217</v>
      </c>
    </row>
    <row r="29" spans="1:15" x14ac:dyDescent="0.2">
      <c r="A29" s="6" t="s">
        <v>35</v>
      </c>
      <c r="B29" s="6" t="s">
        <v>27</v>
      </c>
      <c r="C29" s="5">
        <v>78853</v>
      </c>
      <c r="D29" s="18">
        <f>C29*$C$9</f>
        <v>242139.78643900022</v>
      </c>
      <c r="E29" s="14">
        <f>C29*7*20300*$D$9/1000000</f>
        <v>1.2200457738183619</v>
      </c>
      <c r="F29" s="14">
        <f>C29*7*20300*$E$9/1000000</f>
        <v>1.2200457738183619</v>
      </c>
      <c r="G29" s="14">
        <f>D29+E29*296+F29*23</f>
        <v>242528.98104084827</v>
      </c>
      <c r="N29" s="17">
        <f>N27*1000</f>
        <v>1141788000</v>
      </c>
      <c r="O29" s="8" t="s">
        <v>42</v>
      </c>
    </row>
    <row r="30" spans="1:15" x14ac:dyDescent="0.2">
      <c r="A30" s="6" t="s">
        <v>71</v>
      </c>
      <c r="B30" s="6" t="s">
        <v>69</v>
      </c>
      <c r="C30" s="20">
        <v>17400</v>
      </c>
      <c r="D30" s="18">
        <f>C30*C10</f>
        <v>71563.474387527836</v>
      </c>
      <c r="E30" s="14">
        <f>C30*D10</f>
        <v>0.94729027468448401</v>
      </c>
      <c r="F30" s="14">
        <f>C30*E10</f>
        <v>60.798812175204148</v>
      </c>
      <c r="G30" s="14">
        <f>D30+E30*296+F30*23</f>
        <v>73242.244988864142</v>
      </c>
    </row>
    <row r="31" spans="1:15" x14ac:dyDescent="0.2">
      <c r="A31" s="6" t="s">
        <v>13</v>
      </c>
      <c r="B31" s="6" t="s">
        <v>16</v>
      </c>
      <c r="C31" s="5">
        <v>107744400</v>
      </c>
      <c r="D31" s="14">
        <f>C31*$C$11/1000000</f>
        <v>12929328</v>
      </c>
      <c r="E31" s="18">
        <f>C31*$D$11/1000000</f>
        <v>10127.973599999999</v>
      </c>
      <c r="F31" s="18">
        <f>C31*$E$11/1000000</f>
        <v>247.81211999999996</v>
      </c>
      <c r="G31" s="14">
        <f t="shared" si="0"/>
        <v>15932907.864359999</v>
      </c>
    </row>
    <row r="32" spans="1:15" x14ac:dyDescent="0.2">
      <c r="A32" s="6"/>
      <c r="B32" s="6"/>
      <c r="C32" s="5"/>
      <c r="D32" s="14"/>
      <c r="E32" s="18"/>
      <c r="F32" s="18"/>
      <c r="G32" s="14"/>
    </row>
    <row r="33" spans="1:8" x14ac:dyDescent="0.2">
      <c r="A33" s="28" t="s">
        <v>66</v>
      </c>
      <c r="B33" s="6"/>
      <c r="C33" s="5"/>
      <c r="D33" s="14"/>
      <c r="E33" s="18"/>
      <c r="F33" s="18"/>
      <c r="G33" s="14"/>
    </row>
    <row r="34" spans="1:8" x14ac:dyDescent="0.2">
      <c r="A34" s="6" t="s">
        <v>14</v>
      </c>
      <c r="B34" s="3" t="s">
        <v>46</v>
      </c>
      <c r="C34" s="5">
        <f>28575+20709</f>
        <v>49284</v>
      </c>
      <c r="D34" s="14">
        <f>C34*$C$12</f>
        <v>97680888</v>
      </c>
      <c r="E34" s="18">
        <f>C34*$D$12</f>
        <v>1774.2239999999999</v>
      </c>
      <c r="F34" s="18">
        <f>C34*$E$12</f>
        <v>660.40560000000005</v>
      </c>
      <c r="G34" s="14">
        <f t="shared" si="0"/>
        <v>98221247.632799998</v>
      </c>
    </row>
    <row r="35" spans="1:8" x14ac:dyDescent="0.2">
      <c r="A35" s="12" t="s">
        <v>30</v>
      </c>
      <c r="B35" s="12" t="s">
        <v>16</v>
      </c>
      <c r="C35" s="16">
        <f>455.5*0.748</f>
        <v>340.714</v>
      </c>
      <c r="D35" s="14">
        <f>C35*$C$13</f>
        <v>1012942.722</v>
      </c>
      <c r="E35" s="14">
        <f>C35*$D$13</f>
        <v>18.398555999999996</v>
      </c>
      <c r="F35" s="14">
        <f>C35*$E$13</f>
        <v>6.8483514000000003</v>
      </c>
      <c r="G35" s="14">
        <f>D35+E35*296+F35*23</f>
        <v>1018546.2066582</v>
      </c>
    </row>
    <row r="36" spans="1:8" x14ac:dyDescent="0.2">
      <c r="A36" s="6" t="s">
        <v>31</v>
      </c>
      <c r="B36" s="6" t="s">
        <v>32</v>
      </c>
      <c r="C36" s="16">
        <v>315.60000000000002</v>
      </c>
      <c r="D36" s="14">
        <f>C36*$C$14</f>
        <v>1125934.56</v>
      </c>
      <c r="E36" s="14">
        <f>C36*$D$14</f>
        <v>20.450880000000002</v>
      </c>
      <c r="F36" s="14">
        <f>C36*$E$14</f>
        <v>7.6122720000000017</v>
      </c>
      <c r="G36" s="14">
        <f>D36+E36*296+F36*23</f>
        <v>1132163.102736</v>
      </c>
    </row>
    <row r="38" spans="1:8" x14ac:dyDescent="0.2">
      <c r="E38" s="131"/>
      <c r="F38" s="23" t="s">
        <v>22</v>
      </c>
      <c r="G38" s="15">
        <f>SUM(G25:G36)</f>
        <v>1020260381.6927552</v>
      </c>
      <c r="H38" s="8" t="s">
        <v>23</v>
      </c>
    </row>
    <row r="39" spans="1:8" x14ac:dyDescent="0.2">
      <c r="G39" s="15">
        <f>G38/2000</f>
        <v>510130.19084637763</v>
      </c>
      <c r="H39" s="8" t="s">
        <v>24</v>
      </c>
    </row>
    <row r="40" spans="1:8" customFormat="1" x14ac:dyDescent="0.2">
      <c r="A40" s="8"/>
      <c r="B40" s="8"/>
      <c r="C40" s="8"/>
      <c r="D40" s="8"/>
      <c r="E40" s="8"/>
      <c r="F40" s="8"/>
      <c r="G40" s="8"/>
      <c r="H40" s="8"/>
    </row>
    <row r="41" spans="1:8" customFormat="1" x14ac:dyDescent="0.2">
      <c r="F41" s="23" t="s">
        <v>61</v>
      </c>
      <c r="G41" s="21">
        <f>G25+G26</f>
        <v>902426470.31000006</v>
      </c>
      <c r="H41" s="8" t="s">
        <v>52</v>
      </c>
    </row>
    <row r="42" spans="1:8" customFormat="1" x14ac:dyDescent="0.2">
      <c r="G42" s="22">
        <f>G41/2000</f>
        <v>451213.235155</v>
      </c>
      <c r="H42" s="8" t="s">
        <v>43</v>
      </c>
    </row>
    <row r="43" spans="1:8" customFormat="1" x14ac:dyDescent="0.2"/>
    <row r="44" spans="1:8" customFormat="1" x14ac:dyDescent="0.2">
      <c r="F44" s="24" t="s">
        <v>60</v>
      </c>
      <c r="G44" s="21">
        <f>G34</f>
        <v>98221247.632799998</v>
      </c>
      <c r="H44" s="8" t="s">
        <v>52</v>
      </c>
    </row>
    <row r="45" spans="1:8" customFormat="1" x14ac:dyDescent="0.2">
      <c r="G45" s="22">
        <f>G44/2000</f>
        <v>49110.623816400002</v>
      </c>
      <c r="H45" s="8" t="s">
        <v>43</v>
      </c>
    </row>
    <row r="46" spans="1:8" customFormat="1" x14ac:dyDescent="0.2"/>
    <row r="47" spans="1:8" customFormat="1" x14ac:dyDescent="0.2">
      <c r="F47" s="24" t="s">
        <v>62</v>
      </c>
      <c r="G47" s="21">
        <f>G27+G28+G29+G30+G35+G36</f>
        <v>3679755.8855951275</v>
      </c>
      <c r="H47" s="8" t="s">
        <v>52</v>
      </c>
    </row>
    <row r="48" spans="1:8" x14ac:dyDescent="0.2">
      <c r="A48"/>
      <c r="B48"/>
      <c r="C48"/>
      <c r="D48"/>
      <c r="E48"/>
      <c r="F48"/>
      <c r="G48" s="22">
        <f>G47/2000</f>
        <v>1839.8779427975637</v>
      </c>
      <c r="H48" s="8" t="s">
        <v>43</v>
      </c>
    </row>
    <row r="49" spans="5:8" ht="13.5" thickBot="1" x14ac:dyDescent="0.25"/>
    <row r="50" spans="5:8" x14ac:dyDescent="0.2">
      <c r="E50" s="29"/>
      <c r="F50" s="41" t="s">
        <v>67</v>
      </c>
      <c r="G50" s="30">
        <f>SUM(G23:G29)</f>
        <v>903882274.64121211</v>
      </c>
      <c r="H50" s="31" t="s">
        <v>52</v>
      </c>
    </row>
    <row r="51" spans="5:8" x14ac:dyDescent="0.2">
      <c r="E51" s="32"/>
      <c r="F51" s="33"/>
      <c r="G51" s="34">
        <f>G50/2000</f>
        <v>451941.13732060604</v>
      </c>
      <c r="H51" s="35" t="s">
        <v>43</v>
      </c>
    </row>
    <row r="52" spans="5:8" x14ac:dyDescent="0.2">
      <c r="E52" s="32"/>
      <c r="F52" s="33"/>
      <c r="G52" s="33"/>
      <c r="H52" s="35"/>
    </row>
    <row r="53" spans="5:8" x14ac:dyDescent="0.2">
      <c r="E53" s="32"/>
      <c r="F53" s="42" t="s">
        <v>68</v>
      </c>
      <c r="G53" s="36">
        <f>SUM(G33:G36)</f>
        <v>100371956.94219419</v>
      </c>
      <c r="H53" s="35" t="s">
        <v>52</v>
      </c>
    </row>
    <row r="54" spans="5:8" ht="13.5" thickBot="1" x14ac:dyDescent="0.25">
      <c r="E54" s="37"/>
      <c r="F54" s="38"/>
      <c r="G54" s="39">
        <f>G53/2000</f>
        <v>50185.9784710971</v>
      </c>
      <c r="H54" s="40" t="s">
        <v>43</v>
      </c>
    </row>
    <row r="56" spans="5:8" x14ac:dyDescent="0.2">
      <c r="G56" s="17"/>
    </row>
    <row r="57" spans="5:8" x14ac:dyDescent="0.2">
      <c r="G57" s="19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4"/>
  <sheetViews>
    <sheetView workbookViewId="0">
      <selection activeCell="K49" sqref="K49"/>
    </sheetView>
  </sheetViews>
  <sheetFormatPr defaultColWidth="8.85546875" defaultRowHeight="12.75" x14ac:dyDescent="0.2"/>
  <cols>
    <col min="1" max="1" width="11.5703125" style="8" customWidth="1"/>
    <col min="2" max="2" width="19.140625" style="8" bestFit="1" customWidth="1"/>
    <col min="3" max="3" width="12.140625" style="8" customWidth="1"/>
    <col min="4" max="4" width="15.42578125" style="8" customWidth="1"/>
    <col min="5" max="6" width="11.85546875" style="8" customWidth="1"/>
    <col min="7" max="7" width="16.5703125" style="8" bestFit="1" customWidth="1"/>
    <col min="8" max="16384" width="8.85546875" style="8"/>
  </cols>
  <sheetData>
    <row r="1" spans="1:8" ht="15.75" x14ac:dyDescent="0.25">
      <c r="C1" s="2" t="s">
        <v>6</v>
      </c>
    </row>
    <row r="2" spans="1:8" ht="15.75" x14ac:dyDescent="0.25">
      <c r="C2" s="2"/>
    </row>
    <row r="3" spans="1:8" ht="15.75" x14ac:dyDescent="0.25">
      <c r="C3" s="2"/>
      <c r="E3" s="9" t="s">
        <v>8</v>
      </c>
      <c r="F3" s="9"/>
      <c r="G3" s="7"/>
    </row>
    <row r="4" spans="1:8" x14ac:dyDescent="0.2">
      <c r="A4" s="6"/>
      <c r="B4" s="6"/>
      <c r="C4" s="10" t="s">
        <v>3</v>
      </c>
      <c r="D4" s="10" t="s">
        <v>18</v>
      </c>
      <c r="E4" s="10" t="s">
        <v>5</v>
      </c>
      <c r="F4" s="7"/>
      <c r="G4" s="7"/>
    </row>
    <row r="5" spans="1:8" x14ac:dyDescent="0.2">
      <c r="A5" s="6" t="s">
        <v>0</v>
      </c>
      <c r="B5" s="6" t="s">
        <v>1</v>
      </c>
      <c r="C5" s="10">
        <v>6040</v>
      </c>
      <c r="D5" s="10">
        <v>0.04</v>
      </c>
      <c r="E5" s="10">
        <v>0.05</v>
      </c>
      <c r="F5" s="7" t="s">
        <v>7</v>
      </c>
      <c r="G5" s="7"/>
    </row>
    <row r="6" spans="1:8" x14ac:dyDescent="0.2">
      <c r="A6" s="6" t="s">
        <v>0</v>
      </c>
      <c r="B6" s="6" t="s">
        <v>2</v>
      </c>
      <c r="C6" s="10">
        <v>6040</v>
      </c>
      <c r="D6" s="10">
        <v>3.5</v>
      </c>
      <c r="E6" s="10">
        <v>0.06</v>
      </c>
      <c r="F6" s="7" t="s">
        <v>7</v>
      </c>
      <c r="G6" s="7"/>
    </row>
    <row r="7" spans="1:8" x14ac:dyDescent="0.2">
      <c r="A7" s="6" t="s">
        <v>28</v>
      </c>
      <c r="B7" s="6" t="s">
        <v>19</v>
      </c>
      <c r="C7" s="10">
        <v>22.2</v>
      </c>
      <c r="D7" s="10">
        <v>0</v>
      </c>
      <c r="E7" s="10">
        <v>0</v>
      </c>
      <c r="F7" s="7" t="s">
        <v>29</v>
      </c>
      <c r="G7" s="11">
        <v>20300</v>
      </c>
      <c r="H7" s="8" t="s">
        <v>26</v>
      </c>
    </row>
    <row r="8" spans="1:8" x14ac:dyDescent="0.2">
      <c r="A8" s="6" t="s">
        <v>34</v>
      </c>
      <c r="B8" s="6" t="s">
        <v>27</v>
      </c>
      <c r="C8" s="10">
        <f>19.4*0.7</f>
        <v>13.579999999999998</v>
      </c>
      <c r="D8" s="10">
        <v>0</v>
      </c>
      <c r="E8" s="10">
        <v>0</v>
      </c>
      <c r="F8" s="7" t="s">
        <v>29</v>
      </c>
      <c r="G8" s="11"/>
    </row>
    <row r="9" spans="1:8" x14ac:dyDescent="0.2">
      <c r="A9" s="6" t="s">
        <v>35</v>
      </c>
      <c r="B9" s="6" t="s">
        <v>27</v>
      </c>
      <c r="C9" s="10">
        <f>19.4*0.5</f>
        <v>9.6999999999999993</v>
      </c>
      <c r="D9" s="10">
        <v>0</v>
      </c>
      <c r="E9" s="10">
        <v>0</v>
      </c>
      <c r="F9" s="7" t="s">
        <v>29</v>
      </c>
      <c r="G9" s="11"/>
    </row>
    <row r="10" spans="1:8" x14ac:dyDescent="0.2">
      <c r="A10" s="6" t="s">
        <v>13</v>
      </c>
      <c r="B10" s="6" t="s">
        <v>16</v>
      </c>
      <c r="C10" s="10">
        <v>120000</v>
      </c>
      <c r="D10" s="10">
        <v>94</v>
      </c>
      <c r="E10" s="10">
        <v>2.2999999999999998</v>
      </c>
      <c r="F10" s="7" t="s">
        <v>15</v>
      </c>
      <c r="G10" s="7"/>
    </row>
    <row r="11" spans="1:8" x14ac:dyDescent="0.2">
      <c r="A11" s="6" t="s">
        <v>14</v>
      </c>
      <c r="B11" s="6" t="s">
        <v>16</v>
      </c>
      <c r="C11" s="10">
        <v>1982</v>
      </c>
      <c r="D11" s="10">
        <v>3.5999999999999997E-2</v>
      </c>
      <c r="E11" s="10">
        <v>1.34E-2</v>
      </c>
      <c r="F11" s="7" t="s">
        <v>17</v>
      </c>
      <c r="G11" s="7"/>
    </row>
    <row r="12" spans="1:8" x14ac:dyDescent="0.2">
      <c r="A12" s="12" t="s">
        <v>30</v>
      </c>
      <c r="B12" s="12" t="s">
        <v>16</v>
      </c>
      <c r="C12" s="10">
        <f>C11*1.5</f>
        <v>2973</v>
      </c>
      <c r="D12" s="10">
        <f>D11*1.5</f>
        <v>5.3999999999999992E-2</v>
      </c>
      <c r="E12" s="10">
        <f>E11*1.5</f>
        <v>2.01E-2</v>
      </c>
      <c r="F12" s="7" t="s">
        <v>33</v>
      </c>
      <c r="G12" s="7"/>
    </row>
    <row r="13" spans="1:8" x14ac:dyDescent="0.2">
      <c r="A13" s="6" t="s">
        <v>31</v>
      </c>
      <c r="B13" s="6" t="s">
        <v>32</v>
      </c>
      <c r="C13" s="10">
        <f>C11*1.8</f>
        <v>3567.6</v>
      </c>
      <c r="D13" s="10">
        <f>D11*1.8</f>
        <v>6.4799999999999996E-2</v>
      </c>
      <c r="E13" s="10">
        <f>E11*1.8</f>
        <v>2.4120000000000003E-2</v>
      </c>
      <c r="F13" s="7" t="s">
        <v>33</v>
      </c>
      <c r="G13" s="7"/>
    </row>
    <row r="15" spans="1:8" x14ac:dyDescent="0.2">
      <c r="A15" s="4" t="s">
        <v>9</v>
      </c>
    </row>
    <row r="16" spans="1:8" x14ac:dyDescent="0.2">
      <c r="A16" s="8" t="s">
        <v>3</v>
      </c>
      <c r="B16" s="8" t="s">
        <v>10</v>
      </c>
    </row>
    <row r="17" spans="1:7" x14ac:dyDescent="0.2">
      <c r="A17" s="8" t="s">
        <v>4</v>
      </c>
      <c r="B17" s="8" t="s">
        <v>11</v>
      </c>
    </row>
    <row r="18" spans="1:7" x14ac:dyDescent="0.2">
      <c r="A18" s="8" t="s">
        <v>5</v>
      </c>
      <c r="B18" s="8" t="s">
        <v>12</v>
      </c>
    </row>
    <row r="21" spans="1:7" ht="15.75" x14ac:dyDescent="0.25">
      <c r="A21" s="2" t="s">
        <v>25</v>
      </c>
    </row>
    <row r="22" spans="1:7" ht="15.75" x14ac:dyDescent="0.25">
      <c r="A22" s="4" t="s">
        <v>36</v>
      </c>
      <c r="D22" s="2"/>
      <c r="F22" s="8" t="s">
        <v>8</v>
      </c>
    </row>
    <row r="23" spans="1:7" x14ac:dyDescent="0.2">
      <c r="A23" s="6"/>
      <c r="B23" s="6"/>
      <c r="C23" s="10" t="s">
        <v>20</v>
      </c>
      <c r="D23" s="10" t="s">
        <v>3</v>
      </c>
      <c r="E23" s="10" t="s">
        <v>18</v>
      </c>
      <c r="F23" s="10" t="s">
        <v>5</v>
      </c>
      <c r="G23" s="10" t="s">
        <v>21</v>
      </c>
    </row>
    <row r="24" spans="1:7" x14ac:dyDescent="0.2">
      <c r="A24" s="6" t="s">
        <v>0</v>
      </c>
      <c r="B24" s="6" t="s">
        <v>1</v>
      </c>
      <c r="C24" s="5">
        <v>46532</v>
      </c>
      <c r="D24" s="14">
        <f>C24*C5</f>
        <v>281053280</v>
      </c>
      <c r="E24" s="14">
        <f>C24*D5</f>
        <v>1861.28</v>
      </c>
      <c r="F24" s="14">
        <f>C24*E5</f>
        <v>2326.6</v>
      </c>
      <c r="G24" s="14">
        <f t="shared" ref="G24:G30" si="0">D24+E24*296+F24*23</f>
        <v>281657730.68000001</v>
      </c>
    </row>
    <row r="25" spans="1:7" x14ac:dyDescent="0.2">
      <c r="A25" s="6" t="s">
        <v>0</v>
      </c>
      <c r="B25" s="6" t="s">
        <v>2</v>
      </c>
      <c r="C25" s="5">
        <v>99876</v>
      </c>
      <c r="D25" s="14">
        <f>C25*C6</f>
        <v>603251040</v>
      </c>
      <c r="E25" s="14">
        <f>C25*D6</f>
        <v>349566</v>
      </c>
      <c r="F25" s="14">
        <f>C25*E6</f>
        <v>5992.5599999999995</v>
      </c>
      <c r="G25" s="14">
        <f t="shared" si="0"/>
        <v>706860404.88</v>
      </c>
    </row>
    <row r="26" spans="1:7" x14ac:dyDescent="0.2">
      <c r="A26" s="6" t="s">
        <v>28</v>
      </c>
      <c r="B26" s="6" t="s">
        <v>19</v>
      </c>
      <c r="C26" s="5">
        <v>69027</v>
      </c>
      <c r="D26" s="14">
        <f>C26*C7</f>
        <v>1532399.4</v>
      </c>
      <c r="E26" s="14">
        <f>C26*7*20300*D7/1000000</f>
        <v>0</v>
      </c>
      <c r="F26" s="14">
        <f>C26*7*20300*D7/1000000</f>
        <v>0</v>
      </c>
      <c r="G26" s="14">
        <f t="shared" si="0"/>
        <v>1532399.4</v>
      </c>
    </row>
    <row r="27" spans="1:7" x14ac:dyDescent="0.2">
      <c r="A27" s="6" t="s">
        <v>34</v>
      </c>
      <c r="B27" s="6" t="s">
        <v>27</v>
      </c>
      <c r="C27" s="5">
        <v>172819</v>
      </c>
      <c r="D27" s="14">
        <f>C27*C8</f>
        <v>2346882.0199999996</v>
      </c>
      <c r="E27" s="14">
        <f>C27*7*20300*D7/1000000</f>
        <v>0</v>
      </c>
      <c r="F27" s="14">
        <f>C27*7*20300*D7/1000000</f>
        <v>0</v>
      </c>
      <c r="G27" s="14">
        <f t="shared" si="0"/>
        <v>2346882.0199999996</v>
      </c>
    </row>
    <row r="28" spans="1:7" x14ac:dyDescent="0.2">
      <c r="A28" s="6" t="s">
        <v>35</v>
      </c>
      <c r="B28" s="6" t="s">
        <v>27</v>
      </c>
      <c r="C28" s="5">
        <v>82366</v>
      </c>
      <c r="D28" s="14">
        <f>C28*C9</f>
        <v>798950.2</v>
      </c>
      <c r="E28" s="14">
        <f>C28*7*20300*D8/1000000</f>
        <v>0</v>
      </c>
      <c r="F28" s="14">
        <f>C28*7*20300*D8/1000000</f>
        <v>0</v>
      </c>
      <c r="G28" s="14">
        <f>D28+E28*296+F28*23</f>
        <v>798950.2</v>
      </c>
    </row>
    <row r="29" spans="1:7" x14ac:dyDescent="0.2">
      <c r="A29" s="6" t="s">
        <v>13</v>
      </c>
      <c r="B29" s="6" t="s">
        <v>16</v>
      </c>
      <c r="C29" s="5">
        <v>89805500</v>
      </c>
      <c r="D29" s="14">
        <f>C29*C10/1000000</f>
        <v>10776660</v>
      </c>
      <c r="E29" s="14">
        <f>C29*D10/1000000</f>
        <v>8441.7170000000006</v>
      </c>
      <c r="F29" s="14">
        <f>C29*E10/1000000</f>
        <v>206.55264999999997</v>
      </c>
      <c r="G29" s="14">
        <f t="shared" si="0"/>
        <v>13280158.942950001</v>
      </c>
    </row>
    <row r="30" spans="1:7" x14ac:dyDescent="0.2">
      <c r="A30" s="6" t="s">
        <v>14</v>
      </c>
      <c r="B30" s="3" t="s">
        <v>46</v>
      </c>
      <c r="C30" s="5">
        <v>54082</v>
      </c>
      <c r="D30" s="14">
        <f>C30*C11</f>
        <v>107190524</v>
      </c>
      <c r="E30" s="14">
        <f>C30*D11</f>
        <v>1946.9519999999998</v>
      </c>
      <c r="F30" s="14">
        <f>C30*E11</f>
        <v>724.69880000000001</v>
      </c>
      <c r="G30" s="14">
        <f t="shared" si="0"/>
        <v>107783489.8644</v>
      </c>
    </row>
    <row r="31" spans="1:7" x14ac:dyDescent="0.2">
      <c r="A31" s="12" t="s">
        <v>30</v>
      </c>
      <c r="B31" s="12" t="s">
        <v>16</v>
      </c>
      <c r="C31" s="5">
        <f>456*0.748</f>
        <v>341.08800000000002</v>
      </c>
      <c r="D31" s="14">
        <f>C31*C12</f>
        <v>1014054.6240000001</v>
      </c>
      <c r="E31" s="14">
        <f>C31*D12</f>
        <v>18.418751999999998</v>
      </c>
      <c r="F31" s="14">
        <f>C31*E12</f>
        <v>6.8558688000000005</v>
      </c>
      <c r="G31" s="14">
        <f>D31+E31*296+F31*23</f>
        <v>1019664.2595744001</v>
      </c>
    </row>
    <row r="32" spans="1:7" x14ac:dyDescent="0.2">
      <c r="A32" s="6" t="s">
        <v>31</v>
      </c>
      <c r="B32" s="6" t="s">
        <v>32</v>
      </c>
      <c r="C32" s="5">
        <v>316</v>
      </c>
      <c r="D32" s="14">
        <f>C32*C13</f>
        <v>1127361.5999999999</v>
      </c>
      <c r="E32" s="14">
        <f>C32*D13</f>
        <v>20.476799999999997</v>
      </c>
      <c r="F32" s="14">
        <f>C32*E13</f>
        <v>7.6219200000000011</v>
      </c>
      <c r="G32" s="14">
        <f>D32+E32*296+F32*23</f>
        <v>1133598.0369599999</v>
      </c>
    </row>
    <row r="34" spans="6:8" x14ac:dyDescent="0.2">
      <c r="F34" s="23" t="s">
        <v>22</v>
      </c>
      <c r="G34" s="15">
        <f>SUM(G24:G32)</f>
        <v>1116413278.2838843</v>
      </c>
      <c r="H34" s="8" t="s">
        <v>23</v>
      </c>
    </row>
    <row r="35" spans="6:8" x14ac:dyDescent="0.2">
      <c r="G35" s="15">
        <f>G34/2000</f>
        <v>558206.63914194214</v>
      </c>
      <c r="H35" s="8" t="s">
        <v>24</v>
      </c>
    </row>
    <row r="37" spans="6:8" customFormat="1" x14ac:dyDescent="0.2">
      <c r="F37" s="23" t="s">
        <v>61</v>
      </c>
      <c r="G37" s="21">
        <f>G24+G25</f>
        <v>988518135.55999994</v>
      </c>
      <c r="H37" s="8" t="s">
        <v>52</v>
      </c>
    </row>
    <row r="38" spans="6:8" customFormat="1" x14ac:dyDescent="0.2">
      <c r="G38" s="22">
        <f>G37/2000</f>
        <v>494259.06777999998</v>
      </c>
      <c r="H38" s="8" t="s">
        <v>43</v>
      </c>
    </row>
    <row r="39" spans="6:8" customFormat="1" x14ac:dyDescent="0.2"/>
    <row r="40" spans="6:8" customFormat="1" x14ac:dyDescent="0.2">
      <c r="F40" s="24" t="s">
        <v>60</v>
      </c>
      <c r="G40" s="21">
        <f>G30</f>
        <v>107783489.8644</v>
      </c>
      <c r="H40" s="8" t="s">
        <v>52</v>
      </c>
    </row>
    <row r="41" spans="6:8" customFormat="1" x14ac:dyDescent="0.2">
      <c r="G41" s="22">
        <f>G40/2000</f>
        <v>53891.744932200003</v>
      </c>
      <c r="H41" s="8" t="s">
        <v>43</v>
      </c>
    </row>
    <row r="42" spans="6:8" customFormat="1" x14ac:dyDescent="0.2"/>
    <row r="43" spans="6:8" customFormat="1" x14ac:dyDescent="0.2">
      <c r="F43" s="24" t="s">
        <v>62</v>
      </c>
      <c r="G43" s="21">
        <f>G26+G27+G28+G31+G32</f>
        <v>6831493.9165343996</v>
      </c>
      <c r="H43" s="8" t="s">
        <v>52</v>
      </c>
    </row>
    <row r="44" spans="6:8" customFormat="1" x14ac:dyDescent="0.2">
      <c r="G44" s="22">
        <f>G43/2000</f>
        <v>3415.7469582671997</v>
      </c>
      <c r="H44" s="8" t="s">
        <v>43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FY22</vt:lpstr>
      <vt:lpstr>FY19</vt:lpstr>
      <vt:lpstr>FY16</vt:lpstr>
      <vt:lpstr>FY15</vt:lpstr>
      <vt:lpstr>FY14</vt:lpstr>
      <vt:lpstr>FY13</vt:lpstr>
      <vt:lpstr>FY12</vt:lpstr>
      <vt:lpstr>FY11</vt:lpstr>
    </vt:vector>
  </TitlesOfParts>
  <Company>FPM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Miller</dc:creator>
  <cp:lastModifiedBy>Rankin, Merry L [FPM]</cp:lastModifiedBy>
  <cp:lastPrinted>2019-08-21T21:43:53Z</cp:lastPrinted>
  <dcterms:created xsi:type="dcterms:W3CDTF">2007-10-25T18:41:36Z</dcterms:created>
  <dcterms:modified xsi:type="dcterms:W3CDTF">2022-08-26T16:54:24Z</dcterms:modified>
</cp:coreProperties>
</file>